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customProperty"/>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5725"/>
  <workbookPr codeName="ThisWorkbook" autoCompressPictures="0"/>
  <bookViews>
    <workbookView xWindow="400" yWindow="520" windowWidth="27940" windowHeight="15340"/>
  </bookViews>
  <sheets>
    <sheet name="INPUT" sheetId="12" r:id="rId1"/>
    <sheet name="OUTPUT" sheetId="6" r:id="rId2"/>
    <sheet name="DO NOT USE &gt;&gt;&gt;" sheetId="10" state="hidden" r:id="rId3"/>
    <sheet name="Index" sheetId="3" state="hidden" r:id="rId4"/>
    <sheet name="Detailed Assumptions" sheetId="4" state="hidden" r:id="rId5"/>
    <sheet name="Saved scenarios" sheetId="8" state="hidden" r:id="rId6"/>
    <sheet name="Calculations" sheetId="2" state="hidden" r:id="rId7"/>
    <sheet name="Assumption calculations" sheetId="7" state="hidden" r:id="rId8"/>
    <sheet name="Slide output" sheetId="11" state="hidden" r:id="rId9"/>
  </sheets>
  <definedNames>
    <definedName name="BtfeHeaderLastChanged" localSheetId="3">Index!$C$8</definedName>
    <definedName name="BtfeHeaderWorkbookTitle" localSheetId="3">Index!$C$7</definedName>
    <definedName name="BtfeIndexSheetTable">Index!$C$13:$E$23</definedName>
    <definedName name="_xlnm.Print_Area" localSheetId="3">Index!$A$1:$G$25</definedName>
    <definedName name="_xlnm.Print_Titles" localSheetId="6">Calculations!#REF!</definedName>
    <definedName name="_xlnm.Print_Titles" localSheetId="3">Index!$1:$12</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56" i="6" l="1"/>
  <c r="I27" i="4"/>
  <c r="H27" i="4"/>
  <c r="G27" i="4"/>
  <c r="F27" i="4"/>
  <c r="E27" i="4"/>
  <c r="D27" i="4"/>
  <c r="D6" i="4"/>
  <c r="D5" i="4"/>
  <c r="H16" i="4"/>
  <c r="E12" i="4"/>
  <c r="D13" i="4"/>
  <c r="G14" i="4"/>
  <c r="E16" i="4"/>
  <c r="F12" i="4"/>
  <c r="D14" i="4"/>
  <c r="G15" i="4"/>
  <c r="D11" i="4"/>
  <c r="H11" i="4"/>
  <c r="G12" i="4"/>
  <c r="F13" i="4"/>
  <c r="E14" i="4"/>
  <c r="D15" i="4"/>
  <c r="H15" i="4"/>
  <c r="G16" i="4"/>
  <c r="F11" i="4"/>
  <c r="H13" i="4"/>
  <c r="F15" i="4"/>
  <c r="G11" i="4"/>
  <c r="E13" i="4"/>
  <c r="H14" i="4"/>
  <c r="F16" i="4"/>
  <c r="E11" i="4"/>
  <c r="D12" i="4"/>
  <c r="H12" i="4"/>
  <c r="G13" i="4"/>
  <c r="F14" i="4"/>
  <c r="E15" i="4"/>
  <c r="D16" i="4"/>
  <c r="V50" i="7"/>
  <c r="U50" i="7"/>
  <c r="T50" i="7"/>
  <c r="S50" i="7"/>
  <c r="H89" i="4"/>
  <c r="R50" i="7"/>
  <c r="Q50" i="7"/>
  <c r="P50" i="7"/>
  <c r="O50" i="7"/>
  <c r="N50" i="7"/>
  <c r="M50" i="7"/>
  <c r="L50" i="7"/>
  <c r="K50" i="7"/>
  <c r="J50" i="7"/>
  <c r="I50" i="7"/>
  <c r="H50" i="7"/>
  <c r="G50" i="7"/>
  <c r="F50" i="7"/>
  <c r="E50" i="7"/>
  <c r="D50" i="7"/>
  <c r="W50" i="7"/>
  <c r="G33" i="8"/>
  <c r="G7" i="8"/>
  <c r="G11" i="8"/>
  <c r="F11" i="8"/>
  <c r="E41" i="8"/>
  <c r="D23" i="4"/>
  <c r="BD7" i="11"/>
  <c r="BC7" i="11"/>
  <c r="BB7" i="11"/>
  <c r="BA7" i="11"/>
  <c r="AZ7" i="11"/>
  <c r="AY7" i="11"/>
  <c r="AV7" i="11"/>
  <c r="AU7" i="11"/>
  <c r="AT7" i="11"/>
  <c r="AS7" i="11"/>
  <c r="AR7" i="11"/>
  <c r="AQ7" i="11"/>
  <c r="AN7" i="11"/>
  <c r="AM7" i="11"/>
  <c r="AL7" i="11"/>
  <c r="AK7" i="11"/>
  <c r="AJ7" i="11"/>
  <c r="AI7" i="11"/>
  <c r="AF7" i="11"/>
  <c r="AE7" i="11"/>
  <c r="AD7" i="11"/>
  <c r="AC7" i="11"/>
  <c r="AB7" i="11"/>
  <c r="AA7" i="11"/>
  <c r="X7" i="11"/>
  <c r="W7" i="11"/>
  <c r="V7" i="11"/>
  <c r="U7" i="11"/>
  <c r="T7" i="11"/>
  <c r="S7" i="11"/>
  <c r="P7" i="11"/>
  <c r="O7" i="11"/>
  <c r="N7" i="11"/>
  <c r="M7" i="11"/>
  <c r="L7" i="11"/>
  <c r="K7" i="11"/>
  <c r="H7" i="11"/>
  <c r="G7" i="11"/>
  <c r="F7" i="11"/>
  <c r="E7" i="11"/>
  <c r="D7" i="11"/>
  <c r="C7" i="11"/>
  <c r="G42" i="8"/>
  <c r="D21" i="4"/>
  <c r="H42" i="8"/>
  <c r="F42" i="8"/>
  <c r="E42" i="8"/>
  <c r="D42" i="8"/>
  <c r="D22" i="4"/>
  <c r="D30" i="4"/>
  <c r="I34" i="8"/>
  <c r="H34" i="8"/>
  <c r="G34" i="8"/>
  <c r="F34" i="8"/>
  <c r="E34" i="8"/>
  <c r="D34" i="8"/>
  <c r="I33" i="8"/>
  <c r="H33" i="8"/>
  <c r="F33" i="8"/>
  <c r="E33" i="8"/>
  <c r="D33" i="8"/>
  <c r="I32" i="8"/>
  <c r="H32" i="8"/>
  <c r="G32" i="8"/>
  <c r="F32" i="8"/>
  <c r="E32" i="8"/>
  <c r="D32" i="8"/>
  <c r="I31" i="8"/>
  <c r="H31" i="8"/>
  <c r="G31" i="8"/>
  <c r="F31" i="8"/>
  <c r="E31" i="8"/>
  <c r="D31" i="8"/>
  <c r="I30" i="8"/>
  <c r="H30" i="8"/>
  <c r="G30" i="8"/>
  <c r="F30" i="8"/>
  <c r="E30" i="8"/>
  <c r="D30" i="8"/>
  <c r="I29" i="8"/>
  <c r="H29" i="8"/>
  <c r="G29" i="8"/>
  <c r="F29" i="8"/>
  <c r="E29" i="8"/>
  <c r="D29" i="8"/>
  <c r="I12" i="8"/>
  <c r="H12" i="8"/>
  <c r="G12" i="8"/>
  <c r="F12" i="8"/>
  <c r="E12" i="8"/>
  <c r="D12" i="8"/>
  <c r="I11" i="8"/>
  <c r="H11" i="8"/>
  <c r="E11" i="8"/>
  <c r="D11" i="8"/>
  <c r="I10" i="8"/>
  <c r="H10" i="8"/>
  <c r="G10" i="8"/>
  <c r="F10" i="8"/>
  <c r="E10" i="8"/>
  <c r="D10" i="8"/>
  <c r="I9" i="8"/>
  <c r="H9" i="8"/>
  <c r="G9" i="8"/>
  <c r="F9" i="8"/>
  <c r="E9" i="8"/>
  <c r="D9" i="8"/>
  <c r="I8" i="8"/>
  <c r="H8" i="8"/>
  <c r="G8" i="8"/>
  <c r="F8" i="8"/>
  <c r="E8" i="8"/>
  <c r="D8" i="8"/>
  <c r="I7" i="8"/>
  <c r="H7" i="8"/>
  <c r="F7" i="8"/>
  <c r="E7" i="8"/>
  <c r="D7" i="8"/>
  <c r="B35" i="8"/>
  <c r="B34" i="8"/>
  <c r="B33" i="8"/>
  <c r="B32" i="8"/>
  <c r="B31" i="8"/>
  <c r="B30" i="8"/>
  <c r="B29" i="8"/>
  <c r="B13" i="8"/>
  <c r="B12" i="8"/>
  <c r="B11" i="8"/>
  <c r="B10" i="8"/>
  <c r="B9" i="8"/>
  <c r="B8" i="8"/>
  <c r="B7" i="8"/>
  <c r="B24" i="8"/>
  <c r="B23" i="8"/>
  <c r="B22" i="8"/>
  <c r="B21" i="8"/>
  <c r="B20" i="8"/>
  <c r="B19" i="8"/>
  <c r="B18" i="8"/>
  <c r="E77" i="4"/>
  <c r="I17" i="7"/>
  <c r="E76" i="4"/>
  <c r="D17" i="7"/>
  <c r="AB16" i="7"/>
  <c r="AA16" i="7"/>
  <c r="Z16" i="7"/>
  <c r="Y16" i="7"/>
  <c r="X16" i="7"/>
  <c r="W16" i="7"/>
  <c r="V16" i="7"/>
  <c r="U16" i="7"/>
  <c r="T16" i="7"/>
  <c r="S16" i="7"/>
  <c r="R16" i="7"/>
  <c r="Q16" i="7"/>
  <c r="P16" i="7"/>
  <c r="O16" i="7"/>
  <c r="N16" i="7"/>
  <c r="M16" i="7"/>
  <c r="L16" i="7"/>
  <c r="K16" i="7"/>
  <c r="J16" i="7"/>
  <c r="I16" i="7"/>
  <c r="H16" i="7"/>
  <c r="G16" i="7"/>
  <c r="F16" i="7"/>
  <c r="E16" i="7"/>
  <c r="D16" i="7"/>
  <c r="D47" i="4"/>
  <c r="B15" i="2"/>
  <c r="B11" i="2"/>
  <c r="B5" i="2"/>
  <c r="I35" i="4"/>
  <c r="F35" i="4"/>
  <c r="G35" i="4"/>
  <c r="H35" i="4"/>
  <c r="D35" i="4"/>
  <c r="E35" i="4"/>
  <c r="I41" i="4"/>
  <c r="AD33" i="7"/>
  <c r="E37" i="4"/>
  <c r="G36" i="4"/>
  <c r="H41" i="4"/>
  <c r="Y33" i="7"/>
  <c r="I37" i="4"/>
  <c r="D36" i="4"/>
  <c r="F36" i="4"/>
  <c r="G38" i="4"/>
  <c r="E39" i="4"/>
  <c r="I39" i="4"/>
  <c r="G40" i="4"/>
  <c r="E41" i="4"/>
  <c r="L33" i="7"/>
  <c r="H36" i="4"/>
  <c r="F37" i="4"/>
  <c r="D38" i="4"/>
  <c r="H38" i="4"/>
  <c r="F39" i="4"/>
  <c r="D40" i="4"/>
  <c r="H40" i="4"/>
  <c r="F41" i="4"/>
  <c r="O33" i="7"/>
  <c r="E36" i="4"/>
  <c r="I36" i="4"/>
  <c r="G37" i="4"/>
  <c r="E38" i="4"/>
  <c r="I38" i="4"/>
  <c r="G39" i="4"/>
  <c r="E40" i="4"/>
  <c r="I40" i="4"/>
  <c r="G41" i="4"/>
  <c r="T33" i="7"/>
  <c r="D37" i="4"/>
  <c r="H37" i="4"/>
  <c r="F38" i="4"/>
  <c r="D39" i="4"/>
  <c r="H39" i="4"/>
  <c r="F40" i="4"/>
  <c r="D41" i="4"/>
  <c r="F33" i="7"/>
  <c r="AE16" i="7"/>
  <c r="F76" i="4"/>
  <c r="AC16" i="7"/>
  <c r="AG16" i="7"/>
  <c r="AD16" i="7"/>
  <c r="F77" i="4"/>
  <c r="AF16" i="7"/>
  <c r="D18" i="7"/>
  <c r="I18" i="7"/>
  <c r="G52" i="4"/>
  <c r="D28" i="2"/>
  <c r="F52" i="4"/>
  <c r="D27" i="2"/>
  <c r="E52" i="4"/>
  <c r="D52" i="4"/>
  <c r="H9" i="7"/>
  <c r="G9" i="7"/>
  <c r="F9" i="7"/>
  <c r="E9" i="7"/>
  <c r="D9" i="7"/>
  <c r="H8" i="7"/>
  <c r="G8" i="7"/>
  <c r="F8" i="7"/>
  <c r="E8" i="7"/>
  <c r="D8" i="7"/>
  <c r="H7" i="7"/>
  <c r="G7" i="7"/>
  <c r="F7" i="7"/>
  <c r="E7" i="7"/>
  <c r="D7" i="7"/>
  <c r="H6" i="7"/>
  <c r="G6" i="7"/>
  <c r="F6" i="7"/>
  <c r="E6" i="7"/>
  <c r="D6" i="7"/>
  <c r="H5" i="7"/>
  <c r="G5" i="7"/>
  <c r="F5" i="7"/>
  <c r="E5" i="7"/>
  <c r="D5" i="7"/>
  <c r="H4" i="7"/>
  <c r="G4" i="7"/>
  <c r="F4" i="7"/>
  <c r="E4" i="7"/>
  <c r="D4" i="7"/>
  <c r="AG13" i="7"/>
  <c r="AF13" i="7"/>
  <c r="AE13" i="7"/>
  <c r="AD13" i="7"/>
  <c r="AC13" i="7"/>
  <c r="AB13" i="7"/>
  <c r="AA13" i="7"/>
  <c r="Z13" i="7"/>
  <c r="Y13" i="7"/>
  <c r="X13" i="7"/>
  <c r="M13" i="7"/>
  <c r="L13" i="7"/>
  <c r="K13" i="7"/>
  <c r="J13" i="7"/>
  <c r="I13" i="7"/>
  <c r="H13" i="7"/>
  <c r="G13" i="7"/>
  <c r="F13" i="7"/>
  <c r="E13" i="7"/>
  <c r="D13" i="7"/>
  <c r="W13" i="7"/>
  <c r="V13" i="7"/>
  <c r="U13" i="7"/>
  <c r="T13" i="7"/>
  <c r="S13" i="7"/>
  <c r="R13" i="7"/>
  <c r="Q13" i="7"/>
  <c r="P13" i="7"/>
  <c r="O13" i="7"/>
  <c r="N13" i="7"/>
  <c r="W47" i="7"/>
  <c r="V47" i="7"/>
  <c r="U47" i="7"/>
  <c r="T47" i="7"/>
  <c r="S47" i="7"/>
  <c r="R47" i="7"/>
  <c r="Q47" i="7"/>
  <c r="P47" i="7"/>
  <c r="O47" i="7"/>
  <c r="N47" i="7"/>
  <c r="M47" i="7"/>
  <c r="L47" i="7"/>
  <c r="K47" i="7"/>
  <c r="J47" i="7"/>
  <c r="I47" i="7"/>
  <c r="H47" i="7"/>
  <c r="G47" i="7"/>
  <c r="F47" i="7"/>
  <c r="E47" i="7"/>
  <c r="D47" i="7"/>
  <c r="D38" i="7"/>
  <c r="G38" i="7"/>
  <c r="D15" i="2"/>
  <c r="G46" i="11"/>
  <c r="F38" i="7"/>
  <c r="D11" i="2"/>
  <c r="F46" i="11"/>
  <c r="H51" i="4"/>
  <c r="I38" i="7"/>
  <c r="H38" i="7"/>
  <c r="E38" i="7"/>
  <c r="D25" i="2"/>
  <c r="D59" i="4"/>
  <c r="F56" i="7"/>
  <c r="L54" i="7"/>
  <c r="G54" i="7"/>
  <c r="V54" i="7"/>
  <c r="Q54" i="7"/>
  <c r="P55" i="7"/>
  <c r="K55" i="7"/>
  <c r="F55" i="7"/>
  <c r="U55" i="7"/>
  <c r="T56" i="7"/>
  <c r="O56" i="7"/>
  <c r="J56" i="7"/>
  <c r="D57" i="7"/>
  <c r="S57" i="7"/>
  <c r="H57" i="7"/>
  <c r="W57" i="7"/>
  <c r="V58" i="7"/>
  <c r="F59" i="7"/>
  <c r="U59" i="7"/>
  <c r="T54" i="7"/>
  <c r="O54" i="7"/>
  <c r="J54" i="7"/>
  <c r="E54" i="7"/>
  <c r="D55" i="7"/>
  <c r="S55" i="7"/>
  <c r="N55" i="7"/>
  <c r="I55" i="7"/>
  <c r="H55" i="7"/>
  <c r="W55" i="7"/>
  <c r="R55" i="7"/>
  <c r="M55" i="7"/>
  <c r="Q56" i="7"/>
  <c r="L56" i="7"/>
  <c r="V56" i="7"/>
  <c r="U57" i="7"/>
  <c r="F57" i="7"/>
  <c r="T58" i="7"/>
  <c r="S59" i="7"/>
  <c r="D59" i="7"/>
  <c r="W59" i="7"/>
  <c r="H59" i="7"/>
  <c r="P54" i="7"/>
  <c r="K54" i="7"/>
  <c r="F54" i="7"/>
  <c r="U54" i="7"/>
  <c r="I56" i="7"/>
  <c r="S56" i="7"/>
  <c r="N56" i="7"/>
  <c r="M56" i="7"/>
  <c r="H56" i="7"/>
  <c r="W56" i="7"/>
  <c r="R56" i="7"/>
  <c r="U58" i="7"/>
  <c r="E59" i="7"/>
  <c r="T59" i="7"/>
  <c r="T55" i="7"/>
  <c r="O55" i="7"/>
  <c r="J55" i="7"/>
  <c r="E55" i="7"/>
  <c r="G57" i="7"/>
  <c r="V57" i="7"/>
  <c r="D54" i="7"/>
  <c r="S54" i="7"/>
  <c r="N54" i="7"/>
  <c r="I54" i="7"/>
  <c r="H54" i="7"/>
  <c r="W54" i="7"/>
  <c r="R54" i="7"/>
  <c r="M54" i="7"/>
  <c r="L55" i="7"/>
  <c r="G55" i="7"/>
  <c r="V55" i="7"/>
  <c r="Q55" i="7"/>
  <c r="U56" i="7"/>
  <c r="P56" i="7"/>
  <c r="K56" i="7"/>
  <c r="E57" i="7"/>
  <c r="T57" i="7"/>
  <c r="S58" i="7"/>
  <c r="W58" i="7"/>
  <c r="G59" i="7"/>
  <c r="V59" i="7"/>
  <c r="E21" i="7"/>
  <c r="W33" i="7"/>
  <c r="AF33" i="7"/>
  <c r="AC33" i="7"/>
  <c r="AE33" i="7"/>
  <c r="AG33" i="7"/>
  <c r="I33" i="7"/>
  <c r="J33" i="7"/>
  <c r="X33" i="7"/>
  <c r="R33" i="7"/>
  <c r="N33" i="7"/>
  <c r="M33" i="7"/>
  <c r="K33" i="7"/>
  <c r="S33" i="7"/>
  <c r="Q33" i="7"/>
  <c r="AA33" i="7"/>
  <c r="G33" i="7"/>
  <c r="V33" i="7"/>
  <c r="AB33" i="7"/>
  <c r="Z33" i="7"/>
  <c r="P33" i="7"/>
  <c r="H33" i="7"/>
  <c r="U33" i="7"/>
  <c r="D33" i="7"/>
  <c r="E33" i="7"/>
  <c r="D4" i="2"/>
  <c r="D24" i="7"/>
  <c r="G77" i="4"/>
  <c r="J17" i="7"/>
  <c r="E17" i="7"/>
  <c r="G76" i="4"/>
  <c r="F61" i="4"/>
  <c r="Q58" i="7"/>
  <c r="E60" i="4"/>
  <c r="L57" i="7"/>
  <c r="F62" i="4"/>
  <c r="N59" i="7"/>
  <c r="F60" i="4"/>
  <c r="P57" i="7"/>
  <c r="E62" i="4"/>
  <c r="J59" i="7"/>
  <c r="E61" i="4"/>
  <c r="J58" i="7"/>
  <c r="D19" i="7"/>
  <c r="X19" i="7"/>
  <c r="S19" i="7"/>
  <c r="I19" i="7"/>
  <c r="AC19" i="7"/>
  <c r="N19" i="7"/>
  <c r="H19" i="7"/>
  <c r="AB19" i="7"/>
  <c r="R19" i="7"/>
  <c r="M19" i="7"/>
  <c r="AG19" i="7"/>
  <c r="W19" i="7"/>
  <c r="V20" i="7"/>
  <c r="L20" i="7"/>
  <c r="AF20" i="7"/>
  <c r="G20" i="7"/>
  <c r="AA20" i="7"/>
  <c r="Q20" i="7"/>
  <c r="P21" i="7"/>
  <c r="Z21" i="7"/>
  <c r="U21" i="7"/>
  <c r="F21" i="7"/>
  <c r="K21" i="7"/>
  <c r="AE21" i="7"/>
  <c r="J22" i="7"/>
  <c r="AD22" i="7"/>
  <c r="T22" i="7"/>
  <c r="E22" i="7"/>
  <c r="Y22" i="7"/>
  <c r="O22" i="7"/>
  <c r="D23" i="7"/>
  <c r="X23" i="7"/>
  <c r="N23" i="7"/>
  <c r="I23" i="7"/>
  <c r="AC23" i="7"/>
  <c r="S23" i="7"/>
  <c r="H23" i="7"/>
  <c r="AB23" i="7"/>
  <c r="M23" i="7"/>
  <c r="AG23" i="7"/>
  <c r="R23" i="7"/>
  <c r="W23" i="7"/>
  <c r="V24" i="7"/>
  <c r="G24" i="7"/>
  <c r="AA24" i="7"/>
  <c r="L24" i="7"/>
  <c r="AF24" i="7"/>
  <c r="Q24" i="7"/>
  <c r="T19" i="7"/>
  <c r="J19" i="7"/>
  <c r="AD19" i="7"/>
  <c r="E19" i="7"/>
  <c r="Y19" i="7"/>
  <c r="O19" i="7"/>
  <c r="R20" i="7"/>
  <c r="M20" i="7"/>
  <c r="W20" i="7"/>
  <c r="AB20" i="7"/>
  <c r="AG20" i="7"/>
  <c r="H20" i="7"/>
  <c r="T23" i="7"/>
  <c r="E23" i="7"/>
  <c r="Y23" i="7"/>
  <c r="AD23" i="7"/>
  <c r="J23" i="7"/>
  <c r="O23" i="7"/>
  <c r="R24" i="7"/>
  <c r="H24" i="7"/>
  <c r="AB24" i="7"/>
  <c r="W24" i="7"/>
  <c r="M24" i="7"/>
  <c r="AG24" i="7"/>
  <c r="P19" i="7"/>
  <c r="K19" i="7"/>
  <c r="U19" i="7"/>
  <c r="Z19" i="7"/>
  <c r="AE19" i="7"/>
  <c r="F19" i="7"/>
  <c r="J20" i="7"/>
  <c r="AD20" i="7"/>
  <c r="T20" i="7"/>
  <c r="E20" i="7"/>
  <c r="O20" i="7"/>
  <c r="Y20" i="7"/>
  <c r="D21" i="7"/>
  <c r="X21" i="7"/>
  <c r="N21" i="7"/>
  <c r="I21" i="7"/>
  <c r="AC21" i="7"/>
  <c r="S21" i="7"/>
  <c r="H21" i="7"/>
  <c r="AB21" i="7"/>
  <c r="W21" i="7"/>
  <c r="M21" i="7"/>
  <c r="AG21" i="7"/>
  <c r="R21" i="7"/>
  <c r="V22" i="7"/>
  <c r="AF22" i="7"/>
  <c r="G22" i="7"/>
  <c r="AA22" i="7"/>
  <c r="L22" i="7"/>
  <c r="Q22" i="7"/>
  <c r="P23" i="7"/>
  <c r="Z23" i="7"/>
  <c r="U23" i="7"/>
  <c r="F23" i="7"/>
  <c r="K23" i="7"/>
  <c r="AE23" i="7"/>
  <c r="J24" i="7"/>
  <c r="AD24" i="7"/>
  <c r="O24" i="7"/>
  <c r="T24" i="7"/>
  <c r="Y24" i="7"/>
  <c r="E24" i="7"/>
  <c r="N20" i="7"/>
  <c r="AC20" i="7"/>
  <c r="S20" i="7"/>
  <c r="D20" i="7"/>
  <c r="I20" i="7"/>
  <c r="X20" i="7"/>
  <c r="L21" i="7"/>
  <c r="AF21" i="7"/>
  <c r="G21" i="7"/>
  <c r="Q21" i="7"/>
  <c r="AA21" i="7"/>
  <c r="V21" i="7"/>
  <c r="F22" i="7"/>
  <c r="Z22" i="7"/>
  <c r="K22" i="7"/>
  <c r="AE22" i="7"/>
  <c r="U22" i="7"/>
  <c r="P22" i="7"/>
  <c r="N24" i="7"/>
  <c r="S24" i="7"/>
  <c r="X24" i="7"/>
  <c r="AC24" i="7"/>
  <c r="I24" i="7"/>
  <c r="L19" i="7"/>
  <c r="AF19" i="7"/>
  <c r="AA19" i="7"/>
  <c r="Q19" i="7"/>
  <c r="G19" i="7"/>
  <c r="V19" i="7"/>
  <c r="F20" i="7"/>
  <c r="Z20" i="7"/>
  <c r="U20" i="7"/>
  <c r="K20" i="7"/>
  <c r="AE20" i="7"/>
  <c r="P20" i="7"/>
  <c r="T21" i="7"/>
  <c r="O21" i="7"/>
  <c r="Y21" i="7"/>
  <c r="AD21" i="7"/>
  <c r="J21" i="7"/>
  <c r="N22" i="7"/>
  <c r="S22" i="7"/>
  <c r="X22" i="7"/>
  <c r="I22" i="7"/>
  <c r="AC22" i="7"/>
  <c r="D22" i="7"/>
  <c r="R22" i="7"/>
  <c r="H22" i="7"/>
  <c r="M22" i="7"/>
  <c r="W22" i="7"/>
  <c r="AB22" i="7"/>
  <c r="AG22" i="7"/>
  <c r="L23" i="7"/>
  <c r="AF23" i="7"/>
  <c r="G23" i="7"/>
  <c r="Q23" i="7"/>
  <c r="V23" i="7"/>
  <c r="AA23" i="7"/>
  <c r="F24" i="7"/>
  <c r="Z24" i="7"/>
  <c r="P24" i="7"/>
  <c r="K24" i="7"/>
  <c r="AE24" i="7"/>
  <c r="U24" i="7"/>
  <c r="D61" i="4"/>
  <c r="F58" i="7"/>
  <c r="D26" i="2"/>
  <c r="D5" i="2"/>
  <c r="B21" i="2"/>
  <c r="D21" i="2"/>
  <c r="I46" i="11"/>
  <c r="B17" i="2"/>
  <c r="D17" i="2"/>
  <c r="H46" i="11"/>
  <c r="B9" i="2"/>
  <c r="D9" i="2"/>
  <c r="E46" i="11"/>
  <c r="D56" i="7"/>
  <c r="G56" i="7"/>
  <c r="E56" i="7"/>
  <c r="I57" i="7"/>
  <c r="I58" i="7"/>
  <c r="M58" i="7"/>
  <c r="O58" i="7"/>
  <c r="R58" i="7"/>
  <c r="O57" i="7"/>
  <c r="K59" i="7"/>
  <c r="M57" i="7"/>
  <c r="Q57" i="7"/>
  <c r="K58" i="7"/>
  <c r="J57" i="7"/>
  <c r="P58" i="7"/>
  <c r="P59" i="7"/>
  <c r="G58" i="7"/>
  <c r="R57" i="7"/>
  <c r="N57" i="7"/>
  <c r="D58" i="7"/>
  <c r="L59" i="7"/>
  <c r="M59" i="7"/>
  <c r="I59" i="7"/>
  <c r="E58" i="7"/>
  <c r="K57" i="7"/>
  <c r="L58" i="7"/>
  <c r="O59" i="7"/>
  <c r="Q59" i="7"/>
  <c r="H58" i="7"/>
  <c r="N58" i="7"/>
  <c r="R59" i="7"/>
  <c r="C39" i="11"/>
  <c r="C28" i="11"/>
  <c r="D6" i="2"/>
  <c r="AI11" i="11"/>
  <c r="D46" i="11"/>
  <c r="E4" i="2"/>
  <c r="C40" i="11"/>
  <c r="D4" i="6"/>
  <c r="D26" i="7"/>
  <c r="F30" i="7"/>
  <c r="G29" i="7"/>
  <c r="G27" i="7"/>
  <c r="G25" i="7"/>
  <c r="G30" i="7"/>
  <c r="G28" i="7"/>
  <c r="G26" i="7"/>
  <c r="F29" i="7"/>
  <c r="F27" i="7"/>
  <c r="F25" i="7"/>
  <c r="F28" i="7"/>
  <c r="F26" i="7"/>
  <c r="AD29" i="7"/>
  <c r="AD27" i="7"/>
  <c r="AD25" i="7"/>
  <c r="AD26" i="7"/>
  <c r="AD28" i="7"/>
  <c r="AD30" i="7"/>
  <c r="I30" i="7"/>
  <c r="I28" i="7"/>
  <c r="I26" i="7"/>
  <c r="I29" i="7"/>
  <c r="I27" i="7"/>
  <c r="I25" i="7"/>
  <c r="Q30" i="7"/>
  <c r="Q28" i="7"/>
  <c r="Q26" i="7"/>
  <c r="Q29" i="7"/>
  <c r="Q27" i="7"/>
  <c r="Q25" i="7"/>
  <c r="AE29" i="7"/>
  <c r="AE27" i="7"/>
  <c r="AE25" i="7"/>
  <c r="AE30" i="7"/>
  <c r="AE28" i="7"/>
  <c r="AE26" i="7"/>
  <c r="P30" i="7"/>
  <c r="P28" i="7"/>
  <c r="P26" i="7"/>
  <c r="P27" i="7"/>
  <c r="P29" i="7"/>
  <c r="P25" i="7"/>
  <c r="O29" i="7"/>
  <c r="O27" i="7"/>
  <c r="O25" i="7"/>
  <c r="O30" i="7"/>
  <c r="O28" i="7"/>
  <c r="O26" i="7"/>
  <c r="J29" i="7"/>
  <c r="J27" i="7"/>
  <c r="J25" i="7"/>
  <c r="J30" i="7"/>
  <c r="J26" i="7"/>
  <c r="J28" i="7"/>
  <c r="AG30" i="7"/>
  <c r="AG28" i="7"/>
  <c r="AG26" i="7"/>
  <c r="AG29" i="7"/>
  <c r="AG27" i="7"/>
  <c r="AG25" i="7"/>
  <c r="H30" i="7"/>
  <c r="H28" i="7"/>
  <c r="H26" i="7"/>
  <c r="H29" i="7"/>
  <c r="H25" i="7"/>
  <c r="H27" i="7"/>
  <c r="S29" i="7"/>
  <c r="S27" i="7"/>
  <c r="S25" i="7"/>
  <c r="S30" i="7"/>
  <c r="S28" i="7"/>
  <c r="S26" i="7"/>
  <c r="L30" i="7"/>
  <c r="L28" i="7"/>
  <c r="L26" i="7"/>
  <c r="L25" i="7"/>
  <c r="L27" i="7"/>
  <c r="L29" i="7"/>
  <c r="K29" i="7"/>
  <c r="K27" i="7"/>
  <c r="K25" i="7"/>
  <c r="K30" i="7"/>
  <c r="K28" i="7"/>
  <c r="K26" i="7"/>
  <c r="W29" i="7"/>
  <c r="W27" i="7"/>
  <c r="W25" i="7"/>
  <c r="W30" i="7"/>
  <c r="W28" i="7"/>
  <c r="W26" i="7"/>
  <c r="AB30" i="7"/>
  <c r="AB28" i="7"/>
  <c r="AB26" i="7"/>
  <c r="AB25" i="7"/>
  <c r="AB27" i="7"/>
  <c r="AB29" i="7"/>
  <c r="AA29" i="7"/>
  <c r="AA27" i="7"/>
  <c r="AA25" i="7"/>
  <c r="AA30" i="7"/>
  <c r="AA28" i="7"/>
  <c r="AA26" i="7"/>
  <c r="Z29" i="7"/>
  <c r="Z27" i="7"/>
  <c r="Z25" i="7"/>
  <c r="Z30" i="7"/>
  <c r="Z26" i="7"/>
  <c r="Z28" i="7"/>
  <c r="Y30" i="7"/>
  <c r="Y28" i="7"/>
  <c r="Y26" i="7"/>
  <c r="Y29" i="7"/>
  <c r="Y27" i="7"/>
  <c r="Y25" i="7"/>
  <c r="T30" i="7"/>
  <c r="T28" i="7"/>
  <c r="T26" i="7"/>
  <c r="T27" i="7"/>
  <c r="T25" i="7"/>
  <c r="T29" i="7"/>
  <c r="M30" i="7"/>
  <c r="M28" i="7"/>
  <c r="M26" i="7"/>
  <c r="M29" i="7"/>
  <c r="M27" i="7"/>
  <c r="M25" i="7"/>
  <c r="N29" i="7"/>
  <c r="N27" i="7"/>
  <c r="N25" i="7"/>
  <c r="N26" i="7"/>
  <c r="N28" i="7"/>
  <c r="N30" i="7"/>
  <c r="X30" i="7"/>
  <c r="X28" i="7"/>
  <c r="X26" i="7"/>
  <c r="X29" i="7"/>
  <c r="X25" i="7"/>
  <c r="X27" i="7"/>
  <c r="V29" i="7"/>
  <c r="V27" i="7"/>
  <c r="V25" i="7"/>
  <c r="V28" i="7"/>
  <c r="V30" i="7"/>
  <c r="V26" i="7"/>
  <c r="AF30" i="7"/>
  <c r="AF28" i="7"/>
  <c r="AF26" i="7"/>
  <c r="AF27" i="7"/>
  <c r="AF29" i="7"/>
  <c r="AF25" i="7"/>
  <c r="U30" i="7"/>
  <c r="U28" i="7"/>
  <c r="U26" i="7"/>
  <c r="U29" i="7"/>
  <c r="U27" i="7"/>
  <c r="U25" i="7"/>
  <c r="E30" i="7"/>
  <c r="E28" i="7"/>
  <c r="E26" i="7"/>
  <c r="E29" i="7"/>
  <c r="E27" i="7"/>
  <c r="E25" i="7"/>
  <c r="R29" i="7"/>
  <c r="R27" i="7"/>
  <c r="R25" i="7"/>
  <c r="R26" i="7"/>
  <c r="R28" i="7"/>
  <c r="R30" i="7"/>
  <c r="AC30" i="7"/>
  <c r="AC28" i="7"/>
  <c r="AC26" i="7"/>
  <c r="AC29" i="7"/>
  <c r="AC27" i="7"/>
  <c r="AC25" i="7"/>
  <c r="D30" i="7"/>
  <c r="D28" i="7"/>
  <c r="D27" i="7"/>
  <c r="D25" i="7"/>
  <c r="D29" i="7"/>
  <c r="E18" i="7"/>
  <c r="J18" i="7"/>
  <c r="H76" i="4"/>
  <c r="F17" i="7"/>
  <c r="K17" i="7"/>
  <c r="H77" i="4"/>
  <c r="S60" i="7" a="1"/>
  <c r="S60" i="7"/>
  <c r="G64" i="7"/>
  <c r="E28" i="2"/>
  <c r="W60" i="7" a="1"/>
  <c r="W60" i="7"/>
  <c r="G68" i="7"/>
  <c r="T60" i="7" a="1"/>
  <c r="T60" i="7"/>
  <c r="G65" i="7"/>
  <c r="U60" i="7" a="1"/>
  <c r="U60" i="7"/>
  <c r="G66" i="7"/>
  <c r="V60" i="7" a="1"/>
  <c r="V60" i="7"/>
  <c r="G67" i="7"/>
  <c r="O60" i="7" a="1"/>
  <c r="O60" i="7"/>
  <c r="F65" i="7"/>
  <c r="E60" i="7" a="1"/>
  <c r="E60" i="7"/>
  <c r="D65" i="7"/>
  <c r="G60" i="7" a="1"/>
  <c r="G60" i="7"/>
  <c r="D67" i="7"/>
  <c r="K60" i="7" a="1"/>
  <c r="K60" i="7"/>
  <c r="E66" i="7"/>
  <c r="D8" i="2"/>
  <c r="D10" i="2"/>
  <c r="K13" i="11"/>
  <c r="C11" i="11"/>
  <c r="K11" i="11"/>
  <c r="AQ11" i="11"/>
  <c r="AY11" i="11"/>
  <c r="AY9" i="11"/>
  <c r="AZ9" i="11"/>
  <c r="S9" i="11"/>
  <c r="T9" i="11"/>
  <c r="C9" i="11"/>
  <c r="AQ9" i="11"/>
  <c r="AR9" i="11"/>
  <c r="K9" i="11"/>
  <c r="L9" i="11"/>
  <c r="AI9" i="11"/>
  <c r="AJ9" i="11"/>
  <c r="AA9" i="11"/>
  <c r="AB9" i="11"/>
  <c r="S11" i="11"/>
  <c r="D6" i="6"/>
  <c r="AA11" i="11"/>
  <c r="C29" i="11"/>
  <c r="D39" i="11"/>
  <c r="Q60" i="7" a="1"/>
  <c r="Q60" i="7"/>
  <c r="F67" i="7"/>
  <c r="F4" i="2"/>
  <c r="C41" i="11"/>
  <c r="E4" i="6"/>
  <c r="M60" i="7" a="1"/>
  <c r="M60" i="7"/>
  <c r="E68" i="7"/>
  <c r="AC31" i="7"/>
  <c r="E31" i="7"/>
  <c r="E32" i="7"/>
  <c r="AF31" i="7"/>
  <c r="M31" i="7"/>
  <c r="Y31" i="7"/>
  <c r="AB31" i="7"/>
  <c r="P31" i="7"/>
  <c r="R31" i="7"/>
  <c r="X31" i="7"/>
  <c r="N31" i="7"/>
  <c r="Z31" i="7"/>
  <c r="K31" i="7"/>
  <c r="S31" i="7"/>
  <c r="H31" i="7"/>
  <c r="O31" i="7"/>
  <c r="AE31" i="7"/>
  <c r="F31" i="7"/>
  <c r="U31" i="7"/>
  <c r="L31" i="7"/>
  <c r="AG31" i="7"/>
  <c r="I31" i="7"/>
  <c r="I32" i="7"/>
  <c r="I34" i="7"/>
  <c r="E39" i="7"/>
  <c r="E9" i="2"/>
  <c r="E47" i="11"/>
  <c r="Q31" i="7"/>
  <c r="V31" i="7"/>
  <c r="D31" i="7"/>
  <c r="D32" i="7"/>
  <c r="T31" i="7"/>
  <c r="AA31" i="7"/>
  <c r="W31" i="7"/>
  <c r="J31" i="7"/>
  <c r="J32" i="7"/>
  <c r="J34" i="7"/>
  <c r="E40" i="7"/>
  <c r="AD31" i="7"/>
  <c r="G31" i="7"/>
  <c r="K18" i="7"/>
  <c r="F18" i="7"/>
  <c r="L17" i="7"/>
  <c r="I77" i="4"/>
  <c r="M17" i="7"/>
  <c r="G17" i="7"/>
  <c r="I76" i="4"/>
  <c r="H17" i="7"/>
  <c r="F60" i="7" a="1"/>
  <c r="F60" i="7"/>
  <c r="D66" i="7"/>
  <c r="H60" i="7" a="1"/>
  <c r="H60" i="7"/>
  <c r="D68" i="7"/>
  <c r="D60" i="7" a="1"/>
  <c r="D60" i="7"/>
  <c r="D64" i="7"/>
  <c r="E25" i="2"/>
  <c r="N60" i="7" a="1"/>
  <c r="N60" i="7"/>
  <c r="F64" i="7"/>
  <c r="E27" i="2"/>
  <c r="L60" i="7" a="1"/>
  <c r="L60" i="7"/>
  <c r="E67" i="7"/>
  <c r="I60" i="7" a="1"/>
  <c r="I60" i="7"/>
  <c r="E64" i="7"/>
  <c r="E26" i="2"/>
  <c r="J60" i="7" a="1"/>
  <c r="J60" i="7"/>
  <c r="E65" i="7"/>
  <c r="F26" i="2"/>
  <c r="R60" i="7" a="1"/>
  <c r="R60" i="7"/>
  <c r="F68" i="7"/>
  <c r="P60" i="7" a="1"/>
  <c r="P60" i="7"/>
  <c r="F66" i="7"/>
  <c r="F28" i="2"/>
  <c r="F25" i="2"/>
  <c r="F27" i="2"/>
  <c r="C13" i="11"/>
  <c r="C12" i="11"/>
  <c r="AT12" i="11"/>
  <c r="AI13" i="11"/>
  <c r="AI12" i="11"/>
  <c r="S13" i="11"/>
  <c r="S12" i="11"/>
  <c r="AQ13" i="11"/>
  <c r="AQ12" i="11"/>
  <c r="D8" i="6"/>
  <c r="AA13" i="11"/>
  <c r="AA12" i="11"/>
  <c r="C30" i="11"/>
  <c r="E39" i="11"/>
  <c r="E60" i="11"/>
  <c r="D12" i="2"/>
  <c r="AY13" i="11"/>
  <c r="AY12" i="11"/>
  <c r="AQ10" i="11"/>
  <c r="C10" i="11"/>
  <c r="AJ10" i="11"/>
  <c r="AJ11" i="11"/>
  <c r="AK11" i="11"/>
  <c r="D62" i="11"/>
  <c r="D60" i="11"/>
  <c r="K12" i="11"/>
  <c r="AY10" i="11"/>
  <c r="S10" i="11"/>
  <c r="AA10" i="11"/>
  <c r="M9" i="11"/>
  <c r="N9" i="11"/>
  <c r="BB9" i="11"/>
  <c r="BA9" i="11"/>
  <c r="AT9" i="11"/>
  <c r="AS9" i="11"/>
  <c r="AD9" i="11"/>
  <c r="AC9" i="11"/>
  <c r="AI10" i="11"/>
  <c r="AL9" i="11"/>
  <c r="AK9" i="11"/>
  <c r="V9" i="11"/>
  <c r="U9" i="11"/>
  <c r="K10" i="11"/>
  <c r="G4" i="2"/>
  <c r="C42" i="11"/>
  <c r="F4" i="6"/>
  <c r="D9" i="11"/>
  <c r="E9" i="11"/>
  <c r="K32" i="7"/>
  <c r="K34" i="7"/>
  <c r="E41" i="7"/>
  <c r="G9" i="2"/>
  <c r="E49" i="11"/>
  <c r="F30" i="4"/>
  <c r="G30" i="4"/>
  <c r="H30" i="4"/>
  <c r="I30" i="4"/>
  <c r="J30" i="4"/>
  <c r="L18" i="7"/>
  <c r="H18" i="7"/>
  <c r="F32" i="7"/>
  <c r="F34" i="7"/>
  <c r="D41" i="7"/>
  <c r="G18" i="7"/>
  <c r="M18" i="7"/>
  <c r="E34" i="7"/>
  <c r="D40" i="7"/>
  <c r="F5" i="2"/>
  <c r="F9" i="2"/>
  <c r="H25" i="2"/>
  <c r="F29" i="2"/>
  <c r="F24" i="6"/>
  <c r="D29" i="2"/>
  <c r="D24" i="6"/>
  <c r="E29" i="2"/>
  <c r="E24" i="6"/>
  <c r="G25" i="2"/>
  <c r="G27" i="2"/>
  <c r="G26" i="2"/>
  <c r="G28" i="2"/>
  <c r="AQ15" i="11"/>
  <c r="D10" i="6"/>
  <c r="AY15" i="11"/>
  <c r="AY14" i="11"/>
  <c r="C15" i="11"/>
  <c r="C14" i="11"/>
  <c r="AR14" i="11"/>
  <c r="AQ14" i="11"/>
  <c r="E62" i="11"/>
  <c r="AA15" i="11"/>
  <c r="AA14" i="11"/>
  <c r="S15" i="11"/>
  <c r="S14" i="11"/>
  <c r="AI15" i="11"/>
  <c r="AI14" i="11"/>
  <c r="K15" i="11"/>
  <c r="K14" i="11"/>
  <c r="AR10" i="11"/>
  <c r="AR11" i="11"/>
  <c r="AS11" i="11"/>
  <c r="F12" i="11"/>
  <c r="AL10" i="11"/>
  <c r="F10" i="11"/>
  <c r="V10" i="11"/>
  <c r="V11" i="11"/>
  <c r="AB10" i="11"/>
  <c r="AB11" i="11"/>
  <c r="AC11" i="11"/>
  <c r="AT10" i="11"/>
  <c r="AT11" i="11"/>
  <c r="AT13" i="11"/>
  <c r="AV13" i="11"/>
  <c r="T10" i="11"/>
  <c r="T11" i="11"/>
  <c r="U11" i="11"/>
  <c r="AZ10" i="11"/>
  <c r="AZ11" i="11"/>
  <c r="BA11" i="11"/>
  <c r="D10" i="11"/>
  <c r="D11" i="11"/>
  <c r="E11" i="11"/>
  <c r="BB10" i="11"/>
  <c r="BB11" i="11"/>
  <c r="L12" i="11"/>
  <c r="AB12" i="11"/>
  <c r="AZ12" i="11"/>
  <c r="AR12" i="11"/>
  <c r="AJ12" i="11"/>
  <c r="AJ13" i="11"/>
  <c r="AK13" i="11"/>
  <c r="BB12" i="11"/>
  <c r="D12" i="11"/>
  <c r="N12" i="11"/>
  <c r="AD12" i="11"/>
  <c r="AL12" i="11"/>
  <c r="AD10" i="11"/>
  <c r="AD11" i="11"/>
  <c r="X9" i="11"/>
  <c r="W9" i="11"/>
  <c r="AF9" i="11"/>
  <c r="AE9" i="11"/>
  <c r="BD9" i="11"/>
  <c r="BC9" i="11"/>
  <c r="AM9" i="11"/>
  <c r="AN9" i="11"/>
  <c r="O9" i="11"/>
  <c r="P9" i="11"/>
  <c r="AV9" i="11"/>
  <c r="AU9" i="11"/>
  <c r="AL11" i="11"/>
  <c r="T12" i="11"/>
  <c r="E48" i="11"/>
  <c r="L10" i="11"/>
  <c r="L11" i="11"/>
  <c r="M11" i="11"/>
  <c r="D48" i="11"/>
  <c r="H4" i="2"/>
  <c r="C43" i="11"/>
  <c r="G4" i="6"/>
  <c r="D13" i="2"/>
  <c r="D14" i="6"/>
  <c r="F22" i="6"/>
  <c r="D22" i="6"/>
  <c r="E22" i="6"/>
  <c r="E13" i="2"/>
  <c r="H32" i="7"/>
  <c r="H34" i="7"/>
  <c r="D43" i="7"/>
  <c r="M32" i="7"/>
  <c r="M34" i="7"/>
  <c r="E43" i="7"/>
  <c r="I9" i="2"/>
  <c r="G32" i="7"/>
  <c r="G34" i="7"/>
  <c r="D42" i="7"/>
  <c r="L32" i="7"/>
  <c r="L34" i="7"/>
  <c r="E42" i="7"/>
  <c r="H9" i="2"/>
  <c r="E50" i="11"/>
  <c r="F6" i="2"/>
  <c r="E5" i="6"/>
  <c r="H26" i="2"/>
  <c r="H27" i="2"/>
  <c r="H28" i="2"/>
  <c r="E25" i="6"/>
  <c r="F25" i="6"/>
  <c r="G29" i="2"/>
  <c r="G24" i="6"/>
  <c r="I27" i="2"/>
  <c r="I25" i="2"/>
  <c r="I26" i="2"/>
  <c r="I28" i="2"/>
  <c r="G5" i="2"/>
  <c r="AL14" i="11"/>
  <c r="BB14" i="11"/>
  <c r="V14" i="11"/>
  <c r="L14" i="11"/>
  <c r="N14" i="11"/>
  <c r="AZ14" i="11"/>
  <c r="T14" i="11"/>
  <c r="F14" i="11"/>
  <c r="AJ14" i="11"/>
  <c r="AT14" i="11"/>
  <c r="AT15" i="11"/>
  <c r="D14" i="11"/>
  <c r="AR13" i="11"/>
  <c r="AS13" i="11"/>
  <c r="AB13" i="11"/>
  <c r="AC13" i="11"/>
  <c r="T13" i="11"/>
  <c r="U13" i="11"/>
  <c r="AZ13" i="11"/>
  <c r="BA13" i="11"/>
  <c r="BB13" i="11"/>
  <c r="BD13" i="11"/>
  <c r="AJ15" i="11"/>
  <c r="AK15" i="11"/>
  <c r="D13" i="11"/>
  <c r="E13" i="11"/>
  <c r="AF11" i="11"/>
  <c r="AE11" i="11"/>
  <c r="AD13" i="11"/>
  <c r="AN11" i="11"/>
  <c r="AM11" i="11"/>
  <c r="AU11" i="11"/>
  <c r="AV11" i="11"/>
  <c r="BD11" i="11"/>
  <c r="BC11" i="11"/>
  <c r="X11" i="11"/>
  <c r="W11" i="11"/>
  <c r="AL13" i="11"/>
  <c r="V12" i="11"/>
  <c r="V13" i="11"/>
  <c r="V15" i="11"/>
  <c r="E51" i="11"/>
  <c r="L13" i="11"/>
  <c r="M13" i="11"/>
  <c r="G6" i="2"/>
  <c r="D49" i="11"/>
  <c r="F6" i="6"/>
  <c r="D41" i="11"/>
  <c r="D56" i="11"/>
  <c r="F23" i="6"/>
  <c r="E23" i="6"/>
  <c r="D14" i="2"/>
  <c r="I4" i="2"/>
  <c r="I4" i="6"/>
  <c r="H4" i="6"/>
  <c r="F9" i="11"/>
  <c r="G22" i="6"/>
  <c r="G23" i="6"/>
  <c r="F13" i="2"/>
  <c r="H5" i="2"/>
  <c r="H29" i="2"/>
  <c r="H24" i="6"/>
  <c r="G25" i="6"/>
  <c r="I29" i="2"/>
  <c r="I24" i="6"/>
  <c r="I5" i="2"/>
  <c r="D51" i="11"/>
  <c r="AL15" i="11"/>
  <c r="AM15" i="11"/>
  <c r="AZ15" i="11"/>
  <c r="BA15" i="11"/>
  <c r="AR15" i="11"/>
  <c r="AS15" i="11"/>
  <c r="AU13" i="11"/>
  <c r="T15" i="11"/>
  <c r="U15" i="11"/>
  <c r="BC13" i="11"/>
  <c r="BB15" i="11"/>
  <c r="BD15" i="11"/>
  <c r="AV15" i="11"/>
  <c r="W13" i="11"/>
  <c r="D15" i="11"/>
  <c r="E15" i="11"/>
  <c r="AF13" i="11"/>
  <c r="AE13" i="11"/>
  <c r="AM13" i="11"/>
  <c r="AN13" i="11"/>
  <c r="G9" i="11"/>
  <c r="H9" i="11"/>
  <c r="F11" i="11"/>
  <c r="C44" i="11"/>
  <c r="D54" i="11"/>
  <c r="X13" i="11"/>
  <c r="L15" i="11"/>
  <c r="M15" i="11"/>
  <c r="D16" i="2"/>
  <c r="D18" i="2"/>
  <c r="C31" i="11"/>
  <c r="F39" i="11"/>
  <c r="G6" i="6"/>
  <c r="D42" i="11"/>
  <c r="H6" i="2"/>
  <c r="D50" i="11"/>
  <c r="I6" i="2"/>
  <c r="N10" i="11"/>
  <c r="N11" i="11"/>
  <c r="X15" i="11"/>
  <c r="D12" i="6"/>
  <c r="I22" i="6"/>
  <c r="K22" i="6"/>
  <c r="H25" i="6"/>
  <c r="H22" i="6"/>
  <c r="H23" i="6"/>
  <c r="G13" i="2"/>
  <c r="K24" i="6"/>
  <c r="L24" i="6"/>
  <c r="I25" i="6"/>
  <c r="C60" i="11"/>
  <c r="C54" i="11"/>
  <c r="AN15" i="11"/>
  <c r="AU15" i="11"/>
  <c r="W15" i="11"/>
  <c r="BC15" i="11"/>
  <c r="F62" i="11"/>
  <c r="F60" i="11"/>
  <c r="S17" i="11"/>
  <c r="S16" i="11"/>
  <c r="AY17" i="11"/>
  <c r="AY16" i="11"/>
  <c r="AQ17" i="11"/>
  <c r="AQ16" i="11"/>
  <c r="C17" i="11"/>
  <c r="C16" i="11"/>
  <c r="L16" i="11"/>
  <c r="L17" i="11"/>
  <c r="K17" i="11"/>
  <c r="K16" i="11"/>
  <c r="AA17" i="11"/>
  <c r="AA16" i="11"/>
  <c r="H11" i="11"/>
  <c r="G11" i="11"/>
  <c r="F13" i="11"/>
  <c r="AI17" i="11"/>
  <c r="AI16" i="11"/>
  <c r="C33" i="11"/>
  <c r="H39" i="11"/>
  <c r="H60" i="11"/>
  <c r="D20" i="2"/>
  <c r="D22" i="2"/>
  <c r="K21" i="11"/>
  <c r="H6" i="6"/>
  <c r="D43" i="11"/>
  <c r="I6" i="6"/>
  <c r="D44" i="11"/>
  <c r="D15" i="6"/>
  <c r="G39" i="11"/>
  <c r="C32" i="11"/>
  <c r="P11" i="11"/>
  <c r="O11" i="11"/>
  <c r="N13" i="11"/>
  <c r="AY19" i="11"/>
  <c r="AA19" i="11"/>
  <c r="K19" i="11"/>
  <c r="C19" i="11"/>
  <c r="S19" i="11"/>
  <c r="AQ19" i="11"/>
  <c r="AI19" i="11"/>
  <c r="L22" i="6"/>
  <c r="I23" i="6"/>
  <c r="I13" i="2"/>
  <c r="H13" i="2"/>
  <c r="F5" i="6"/>
  <c r="S18" i="11"/>
  <c r="F16" i="11"/>
  <c r="AB16" i="11"/>
  <c r="V16" i="11"/>
  <c r="V17" i="11"/>
  <c r="X17" i="11"/>
  <c r="AY18" i="11"/>
  <c r="G62" i="11"/>
  <c r="G60" i="11"/>
  <c r="K18" i="11"/>
  <c r="H62" i="11"/>
  <c r="D16" i="11"/>
  <c r="D17" i="11"/>
  <c r="E17" i="11"/>
  <c r="AZ16" i="11"/>
  <c r="AZ17" i="11"/>
  <c r="BA17" i="11"/>
  <c r="AD16" i="11"/>
  <c r="C18" i="11"/>
  <c r="AD18" i="11"/>
  <c r="AR16" i="11"/>
  <c r="AR17" i="11"/>
  <c r="AS17" i="11"/>
  <c r="BB16" i="11"/>
  <c r="BB17" i="11"/>
  <c r="AT16" i="11"/>
  <c r="AT17" i="11"/>
  <c r="AV17" i="11"/>
  <c r="N16" i="11"/>
  <c r="T16" i="11"/>
  <c r="T17" i="11"/>
  <c r="D61" i="11"/>
  <c r="D63" i="11"/>
  <c r="AQ18" i="11"/>
  <c r="AA18" i="11"/>
  <c r="AI18" i="11"/>
  <c r="D57" i="11"/>
  <c r="D55" i="11"/>
  <c r="H13" i="11"/>
  <c r="G13" i="11"/>
  <c r="F15" i="11"/>
  <c r="C21" i="11"/>
  <c r="C20" i="11"/>
  <c r="AA21" i="11"/>
  <c r="AA20" i="11"/>
  <c r="S21" i="11"/>
  <c r="S20" i="11"/>
  <c r="D17" i="6"/>
  <c r="C5" i="11"/>
  <c r="AI21" i="11"/>
  <c r="AI20" i="11"/>
  <c r="AY21" i="11"/>
  <c r="AY20" i="11"/>
  <c r="AQ21" i="11"/>
  <c r="AQ20" i="11"/>
  <c r="C34" i="11"/>
  <c r="I39" i="11"/>
  <c r="I60" i="11"/>
  <c r="U17" i="11"/>
  <c r="M17" i="11"/>
  <c r="K20" i="11"/>
  <c r="P13" i="11"/>
  <c r="O13" i="11"/>
  <c r="N15" i="11"/>
  <c r="F8" i="2"/>
  <c r="F10" i="2"/>
  <c r="F84" i="4"/>
  <c r="E41" i="11"/>
  <c r="E54" i="11"/>
  <c r="BC17" i="11"/>
  <c r="F17" i="11"/>
  <c r="H17" i="11"/>
  <c r="AZ18" i="11"/>
  <c r="AZ19" i="11"/>
  <c r="BA19" i="11"/>
  <c r="BB18" i="11"/>
  <c r="BB19" i="11"/>
  <c r="BD19" i="11"/>
  <c r="T18" i="11"/>
  <c r="T19" i="11"/>
  <c r="U19" i="11"/>
  <c r="AJ18" i="11"/>
  <c r="F18" i="11"/>
  <c r="D18" i="11"/>
  <c r="D19" i="11"/>
  <c r="E19" i="11"/>
  <c r="W17" i="11"/>
  <c r="BD17" i="11"/>
  <c r="AU17" i="11"/>
  <c r="N18" i="11"/>
  <c r="V18" i="11"/>
  <c r="V19" i="11"/>
  <c r="X19" i="11"/>
  <c r="AB18" i="11"/>
  <c r="AL18" i="11"/>
  <c r="L18" i="11"/>
  <c r="L19" i="11"/>
  <c r="M19" i="11"/>
  <c r="J39" i="11"/>
  <c r="I62" i="11"/>
  <c r="AL20" i="11"/>
  <c r="L20" i="11"/>
  <c r="H15" i="11"/>
  <c r="G15" i="11"/>
  <c r="C3" i="11"/>
  <c r="T20" i="11"/>
  <c r="D26" i="6"/>
  <c r="V20" i="11"/>
  <c r="AR20" i="11"/>
  <c r="F20" i="11"/>
  <c r="AD20" i="11"/>
  <c r="AB20" i="11"/>
  <c r="AT20" i="11"/>
  <c r="D20" i="11"/>
  <c r="N20" i="11"/>
  <c r="AJ20" i="11"/>
  <c r="O15" i="11"/>
  <c r="P15" i="11"/>
  <c r="N17" i="11"/>
  <c r="F8" i="6"/>
  <c r="G5" i="6"/>
  <c r="E56" i="11"/>
  <c r="G17" i="11"/>
  <c r="F19" i="11"/>
  <c r="H19" i="11"/>
  <c r="D21" i="11"/>
  <c r="E21" i="11"/>
  <c r="T21" i="11"/>
  <c r="U21" i="11"/>
  <c r="BC19" i="11"/>
  <c r="W19" i="11"/>
  <c r="V21" i="11"/>
  <c r="L21" i="11"/>
  <c r="M21" i="11"/>
  <c r="O17" i="11"/>
  <c r="P17" i="11"/>
  <c r="N19" i="11"/>
  <c r="G8" i="2"/>
  <c r="G10" i="2"/>
  <c r="G84" i="4"/>
  <c r="G7" i="6"/>
  <c r="E42" i="11"/>
  <c r="G83" i="4"/>
  <c r="G19" i="11"/>
  <c r="F21" i="11"/>
  <c r="H21" i="11"/>
  <c r="D4" i="11"/>
  <c r="W21" i="11"/>
  <c r="X21" i="11"/>
  <c r="F4" i="11"/>
  <c r="P19" i="11"/>
  <c r="O19" i="11"/>
  <c r="N21" i="11"/>
  <c r="G8" i="6"/>
  <c r="G78" i="4"/>
  <c r="G81" i="4"/>
  <c r="AE17" i="7"/>
  <c r="AE18" i="7"/>
  <c r="G80" i="4"/>
  <c r="Z17" i="7"/>
  <c r="Z18" i="7"/>
  <c r="G21" i="11"/>
  <c r="P21" i="11"/>
  <c r="E4" i="11"/>
  <c r="O21" i="11"/>
  <c r="Z32" i="7"/>
  <c r="Z34" i="7"/>
  <c r="H41" i="7"/>
  <c r="G17" i="2"/>
  <c r="H49" i="11"/>
  <c r="AE32" i="7"/>
  <c r="AE34" i="7"/>
  <c r="I41" i="7"/>
  <c r="G21" i="2"/>
  <c r="I49" i="11"/>
  <c r="H5" i="6"/>
  <c r="H8" i="2"/>
  <c r="H10" i="2"/>
  <c r="H84" i="4"/>
  <c r="H7" i="6"/>
  <c r="E43" i="11"/>
  <c r="H83" i="4"/>
  <c r="H8" i="6"/>
  <c r="H78" i="4"/>
  <c r="H80" i="4"/>
  <c r="H81" i="4"/>
  <c r="AF17" i="7"/>
  <c r="AF18" i="7"/>
  <c r="AA17" i="7"/>
  <c r="AA18" i="7"/>
  <c r="AF32" i="7"/>
  <c r="AF34" i="7"/>
  <c r="I42" i="7"/>
  <c r="H21" i="2"/>
  <c r="I50" i="11"/>
  <c r="AA32" i="7"/>
  <c r="AA34" i="7"/>
  <c r="H42" i="7"/>
  <c r="H17" i="2"/>
  <c r="H50" i="11"/>
  <c r="I8" i="2"/>
  <c r="I10" i="2"/>
  <c r="I84" i="4"/>
  <c r="K4" i="6"/>
  <c r="I5" i="6"/>
  <c r="E44" i="11"/>
  <c r="E61" i="11"/>
  <c r="I83" i="4"/>
  <c r="I8" i="6"/>
  <c r="H9" i="6"/>
  <c r="K6" i="6"/>
  <c r="I7" i="6"/>
  <c r="I78" i="4"/>
  <c r="I80" i="4"/>
  <c r="AB17" i="7"/>
  <c r="AB18" i="7"/>
  <c r="I81" i="4"/>
  <c r="E57" i="11"/>
  <c r="E55" i="11"/>
  <c r="E63" i="11"/>
  <c r="AG17" i="7"/>
  <c r="AG18" i="7"/>
  <c r="AB32" i="7"/>
  <c r="AB34" i="7"/>
  <c r="H43" i="7"/>
  <c r="I17" i="2"/>
  <c r="AG32" i="7"/>
  <c r="AG34" i="7"/>
  <c r="I43" i="7"/>
  <c r="I21" i="2"/>
  <c r="AT18" i="11"/>
  <c r="AT19" i="11"/>
  <c r="AT21" i="11"/>
  <c r="H51" i="11"/>
  <c r="BB20" i="11"/>
  <c r="BB21" i="11"/>
  <c r="BD21" i="11"/>
  <c r="J4" i="11"/>
  <c r="I51" i="11"/>
  <c r="AV19" i="11"/>
  <c r="AV21" i="11"/>
  <c r="I4" i="11"/>
  <c r="I9" i="6"/>
  <c r="K8" i="6"/>
  <c r="D34" i="7"/>
  <c r="D39" i="7"/>
  <c r="E5" i="2"/>
  <c r="E6" i="2"/>
  <c r="E8" i="2"/>
  <c r="E10" i="2"/>
  <c r="D47" i="11"/>
  <c r="F83" i="4"/>
  <c r="F80" i="4"/>
  <c r="E84" i="4"/>
  <c r="E40" i="11"/>
  <c r="E83" i="4"/>
  <c r="E6" i="6"/>
  <c r="F7" i="6"/>
  <c r="D40" i="11"/>
  <c r="E8" i="6"/>
  <c r="E78" i="4"/>
  <c r="N17" i="7"/>
  <c r="F81" i="4"/>
  <c r="AD17" i="7"/>
  <c r="F78" i="4"/>
  <c r="E81" i="4"/>
  <c r="E80" i="4"/>
  <c r="X17" i="7"/>
  <c r="E7" i="6"/>
  <c r="Y17" i="7"/>
  <c r="AC17" i="7"/>
  <c r="P17" i="7"/>
  <c r="P18" i="7"/>
  <c r="P32" i="7"/>
  <c r="P34" i="7"/>
  <c r="AD18" i="7"/>
  <c r="N18" i="7"/>
  <c r="X18" i="7"/>
  <c r="AC18" i="7"/>
  <c r="Y18" i="7"/>
  <c r="O17" i="7"/>
  <c r="F41" i="7"/>
  <c r="G11" i="2"/>
  <c r="Q17" i="7"/>
  <c r="Q18" i="7"/>
  <c r="Q32" i="7"/>
  <c r="Q34" i="7"/>
  <c r="F42" i="7"/>
  <c r="H11" i="2"/>
  <c r="R17" i="7"/>
  <c r="R18" i="7"/>
  <c r="R32" i="7"/>
  <c r="R34" i="7"/>
  <c r="F43" i="7"/>
  <c r="I11" i="2"/>
  <c r="O18" i="7"/>
  <c r="AC32" i="7"/>
  <c r="AC34" i="7"/>
  <c r="I39" i="7"/>
  <c r="E21" i="2"/>
  <c r="I47" i="11"/>
  <c r="N32" i="7"/>
  <c r="N34" i="7"/>
  <c r="F39" i="7"/>
  <c r="E11" i="2"/>
  <c r="Y32" i="7"/>
  <c r="Y34" i="7"/>
  <c r="H40" i="7"/>
  <c r="F17" i="2"/>
  <c r="X32" i="7"/>
  <c r="X34" i="7"/>
  <c r="H39" i="7"/>
  <c r="E17" i="2"/>
  <c r="H47" i="11"/>
  <c r="AD32" i="7"/>
  <c r="AD34" i="7"/>
  <c r="I40" i="7"/>
  <c r="F21" i="2"/>
  <c r="F49" i="11"/>
  <c r="G12" i="2"/>
  <c r="G10" i="6"/>
  <c r="F51" i="11"/>
  <c r="I12" i="2"/>
  <c r="AD14" i="11"/>
  <c r="AD15" i="11"/>
  <c r="H12" i="2"/>
  <c r="F50" i="11"/>
  <c r="AZ20" i="11"/>
  <c r="AZ21" i="11"/>
  <c r="BC21" i="11"/>
  <c r="I48" i="11"/>
  <c r="E12" i="2"/>
  <c r="E10" i="6"/>
  <c r="F47" i="11"/>
  <c r="AR18" i="11"/>
  <c r="AR19" i="11"/>
  <c r="AS19" i="11"/>
  <c r="H48" i="11"/>
  <c r="E9" i="6"/>
  <c r="O32" i="7"/>
  <c r="O34" i="7"/>
  <c r="I85" i="4"/>
  <c r="I79" i="4"/>
  <c r="I10" i="6"/>
  <c r="H85" i="4"/>
  <c r="H79" i="4"/>
  <c r="H10" i="6"/>
  <c r="H11" i="6"/>
  <c r="G14" i="2"/>
  <c r="F42" i="11"/>
  <c r="G85" i="4"/>
  <c r="G79" i="4"/>
  <c r="U17" i="7"/>
  <c r="U18" i="7"/>
  <c r="U32" i="7"/>
  <c r="U34" i="7"/>
  <c r="G41" i="7"/>
  <c r="G15" i="2"/>
  <c r="G49" i="11"/>
  <c r="E14" i="2"/>
  <c r="F40" i="11"/>
  <c r="E85" i="4"/>
  <c r="E79" i="4"/>
  <c r="S17" i="7"/>
  <c r="S18" i="7"/>
  <c r="S32" i="7"/>
  <c r="S34" i="7"/>
  <c r="G39" i="7"/>
  <c r="E15" i="2"/>
  <c r="G47" i="11"/>
  <c r="G14" i="6"/>
  <c r="F40" i="7"/>
  <c r="F11" i="2"/>
  <c r="BA21" i="11"/>
  <c r="E14" i="6"/>
  <c r="H14" i="2"/>
  <c r="H14" i="6"/>
  <c r="I14" i="2"/>
  <c r="I14" i="6"/>
  <c r="AF15" i="11"/>
  <c r="AD17" i="11"/>
  <c r="V17" i="7"/>
  <c r="V18" i="7"/>
  <c r="V32" i="7"/>
  <c r="V34" i="7"/>
  <c r="G42" i="7"/>
  <c r="H15" i="2"/>
  <c r="G50" i="11"/>
  <c r="W17" i="7"/>
  <c r="W18" i="7"/>
  <c r="W32" i="7"/>
  <c r="W34" i="7"/>
  <c r="G43" i="7"/>
  <c r="I15" i="2"/>
  <c r="AU19" i="11"/>
  <c r="AR21" i="11"/>
  <c r="AS21" i="11"/>
  <c r="E12" i="6"/>
  <c r="I11" i="6"/>
  <c r="G12" i="6"/>
  <c r="G16" i="2"/>
  <c r="G42" i="11"/>
  <c r="E16" i="2"/>
  <c r="G40" i="11"/>
  <c r="F48" i="11"/>
  <c r="F12" i="2"/>
  <c r="F10" i="6"/>
  <c r="AB14" i="11"/>
  <c r="AB15" i="11"/>
  <c r="AB17" i="11"/>
  <c r="F44" i="11"/>
  <c r="F63" i="11"/>
  <c r="I12" i="6"/>
  <c r="AD19" i="11"/>
  <c r="AF17" i="11"/>
  <c r="F43" i="11"/>
  <c r="H12" i="6"/>
  <c r="AL16" i="11"/>
  <c r="AL17" i="11"/>
  <c r="G51" i="11"/>
  <c r="I16" i="2"/>
  <c r="H16" i="2"/>
  <c r="H18" i="2"/>
  <c r="AU21" i="11"/>
  <c r="E13" i="6"/>
  <c r="H13" i="6"/>
  <c r="E18" i="2"/>
  <c r="E20" i="2"/>
  <c r="E22" i="2"/>
  <c r="G18" i="2"/>
  <c r="H42" i="11"/>
  <c r="F11" i="6"/>
  <c r="G11" i="6"/>
  <c r="I13" i="6"/>
  <c r="F14" i="6"/>
  <c r="F85" i="4"/>
  <c r="F79" i="4"/>
  <c r="T17" i="7"/>
  <c r="T18" i="7"/>
  <c r="T32" i="7"/>
  <c r="T34" i="7"/>
  <c r="G40" i="7"/>
  <c r="F15" i="2"/>
  <c r="AC15" i="11"/>
  <c r="F14" i="2"/>
  <c r="F12" i="6"/>
  <c r="F13" i="6"/>
  <c r="AE15" i="11"/>
  <c r="G20" i="2"/>
  <c r="G22" i="2"/>
  <c r="G17" i="6"/>
  <c r="F57" i="11"/>
  <c r="F61" i="11"/>
  <c r="G15" i="6"/>
  <c r="AF19" i="11"/>
  <c r="AD21" i="11"/>
  <c r="AF21" i="11"/>
  <c r="G4" i="11"/>
  <c r="K12" i="6"/>
  <c r="G43" i="11"/>
  <c r="I18" i="2"/>
  <c r="G44" i="11"/>
  <c r="G63" i="11"/>
  <c r="AN17" i="11"/>
  <c r="AL19" i="11"/>
  <c r="H20" i="2"/>
  <c r="H22" i="2"/>
  <c r="H43" i="11"/>
  <c r="H15" i="6"/>
  <c r="E17" i="6"/>
  <c r="E26" i="6"/>
  <c r="E27" i="6"/>
  <c r="I40" i="11"/>
  <c r="J40" i="11"/>
  <c r="E15" i="6"/>
  <c r="E16" i="6"/>
  <c r="H40" i="11"/>
  <c r="AB19" i="11"/>
  <c r="AC17" i="11"/>
  <c r="AE17" i="11"/>
  <c r="F9" i="6"/>
  <c r="G9" i="6"/>
  <c r="AJ16" i="11"/>
  <c r="AJ17" i="11"/>
  <c r="G48" i="11"/>
  <c r="F41" i="11"/>
  <c r="F16" i="2"/>
  <c r="G13" i="6"/>
  <c r="I42" i="11"/>
  <c r="J42" i="11"/>
  <c r="G57" i="11"/>
  <c r="G61" i="11"/>
  <c r="I20" i="2"/>
  <c r="I22" i="2"/>
  <c r="I17" i="6"/>
  <c r="I15" i="6"/>
  <c r="I16" i="6"/>
  <c r="H44" i="11"/>
  <c r="AN19" i="11"/>
  <c r="AL21" i="11"/>
  <c r="H17" i="6"/>
  <c r="H18" i="6"/>
  <c r="I43" i="11"/>
  <c r="J43" i="11"/>
  <c r="H16" i="6"/>
  <c r="G26" i="6"/>
  <c r="E18" i="6"/>
  <c r="AC19" i="11"/>
  <c r="AB21" i="11"/>
  <c r="AE19" i="11"/>
  <c r="AK17" i="11"/>
  <c r="AJ19" i="11"/>
  <c r="AM17" i="11"/>
  <c r="F18" i="2"/>
  <c r="G41" i="11"/>
  <c r="F56" i="11"/>
  <c r="F55" i="11"/>
  <c r="F54" i="11"/>
  <c r="H61" i="11"/>
  <c r="H63" i="11"/>
  <c r="H57" i="11"/>
  <c r="AN21" i="11"/>
  <c r="H4" i="11"/>
  <c r="K15" i="6"/>
  <c r="I44" i="11"/>
  <c r="I63" i="11"/>
  <c r="H26" i="6"/>
  <c r="AC21" i="11"/>
  <c r="AE21" i="11"/>
  <c r="AK19" i="11"/>
  <c r="AJ21" i="11"/>
  <c r="AM19" i="11"/>
  <c r="G54" i="11"/>
  <c r="G55" i="11"/>
  <c r="G56" i="11"/>
  <c r="F20" i="2"/>
  <c r="F22" i="2"/>
  <c r="F15" i="6"/>
  <c r="H41" i="11"/>
  <c r="I57" i="11"/>
  <c r="I61" i="11"/>
  <c r="J44" i="11"/>
  <c r="K44" i="11"/>
  <c r="I26" i="6"/>
  <c r="I27" i="6"/>
  <c r="K17" i="6"/>
  <c r="K3" i="11"/>
  <c r="K5" i="11"/>
  <c r="I18" i="6"/>
  <c r="H27" i="6"/>
  <c r="AK21" i="11"/>
  <c r="AM21" i="11"/>
  <c r="H56" i="11"/>
  <c r="H55" i="11"/>
  <c r="H54" i="11"/>
  <c r="I41" i="11"/>
  <c r="F17" i="6"/>
  <c r="F16" i="6"/>
  <c r="G16" i="6"/>
  <c r="L26" i="6"/>
  <c r="K26" i="6"/>
  <c r="J41" i="11"/>
  <c r="I54" i="11"/>
  <c r="I56" i="11"/>
  <c r="I55" i="11"/>
  <c r="G18" i="6"/>
  <c r="F18" i="6"/>
  <c r="F26" i="6"/>
  <c r="F27" i="6"/>
  <c r="G27" i="6"/>
</calcChain>
</file>

<file path=xl/sharedStrings.xml><?xml version="1.0" encoding="utf-8"?>
<sst xmlns="http://schemas.openxmlformats.org/spreadsheetml/2006/main" count="663" uniqueCount="230">
  <si>
    <t>Sheet Name</t>
  </si>
  <si>
    <t>Description</t>
  </si>
  <si>
    <t>Type</t>
  </si>
  <si>
    <t>Sheet types</t>
  </si>
  <si>
    <t>Input: Facts</t>
  </si>
  <si>
    <t>Input: Assumptions</t>
  </si>
  <si>
    <t>Calculation</t>
  </si>
  <si>
    <t>Output</t>
  </si>
  <si>
    <t>g9+/ErSA</t>
  </si>
  <si>
    <t>CAGR</t>
  </si>
  <si>
    <t>iIYGWQhB</t>
  </si>
  <si>
    <t>Local production</t>
  </si>
  <si>
    <t>MANGO</t>
  </si>
  <si>
    <t>COMPASS</t>
  </si>
  <si>
    <t>iCCM Nutrition</t>
  </si>
  <si>
    <t>MUAC only</t>
  </si>
  <si>
    <t>Commodity Availability</t>
  </si>
  <si>
    <t>Human Resources</t>
  </si>
  <si>
    <t>Community Mobilization</t>
  </si>
  <si>
    <t>Utilization of services</t>
  </si>
  <si>
    <t>Continuity of services</t>
  </si>
  <si>
    <t>Quality of services</t>
  </si>
  <si>
    <t>Impact of interventions</t>
  </si>
  <si>
    <t>Base case</t>
  </si>
  <si>
    <t>Key starting figures:</t>
  </si>
  <si>
    <t>% utilization of services</t>
  </si>
  <si>
    <t># utilizing treatment</t>
  </si>
  <si>
    <t>% continuity of services</t>
  </si>
  <si>
    <t>% quality of services</t>
  </si>
  <si>
    <t># of children cured</t>
  </si>
  <si>
    <t>IFXKTmh2</t>
  </si>
  <si>
    <t>Calculations</t>
  </si>
  <si>
    <t>Chlidren with SAM</t>
  </si>
  <si>
    <t># of children with SAM</t>
  </si>
  <si>
    <t>yoy growth</t>
  </si>
  <si>
    <t>Annual growth in SAM</t>
  </si>
  <si>
    <t>% of children starting to utilize SAM treatment that will continue services</t>
  </si>
  <si>
    <t>% of children continuing SAM treatment that will be cured</t>
  </si>
  <si>
    <t>Impact: Interventions</t>
  </si>
  <si>
    <t>Impact: Base case / starting figures</t>
  </si>
  <si>
    <t>Cost: Base case / starting figures</t>
  </si>
  <si>
    <t>Cost: Interventions</t>
  </si>
  <si>
    <t>Impact in ppts of each intervention on cost bucket</t>
  </si>
  <si>
    <t>Impact</t>
  </si>
  <si>
    <t>Cost</t>
  </si>
  <si>
    <t>MASTER SWITCH</t>
  </si>
  <si>
    <t>Total</t>
  </si>
  <si>
    <t>Cost per cured</t>
  </si>
  <si>
    <t>Total cost ($M)</t>
  </si>
  <si>
    <t>Cost to train health workers</t>
  </si>
  <si>
    <t>Salaries for management, supervision, and workers</t>
  </si>
  <si>
    <t>Cost per cured (%)</t>
  </si>
  <si>
    <t>Cost per cured ($)</t>
  </si>
  <si>
    <t>Other program costs</t>
  </si>
  <si>
    <t>Logistics, office space, utilities, transport</t>
  </si>
  <si>
    <t>Does not include cost to community (out-of-pocket spending on health)</t>
  </si>
  <si>
    <t>Supply costs</t>
  </si>
  <si>
    <t>Supply of RUTF, MUAC, other products</t>
  </si>
  <si>
    <t># cured</t>
  </si>
  <si>
    <t>Costs:</t>
  </si>
  <si>
    <t>Interventions (% on)</t>
  </si>
  <si>
    <t>Interventions (% on by year)</t>
  </si>
  <si>
    <t>% gap closed</t>
  </si>
  <si>
    <t>TOTAL COST GROWTH</t>
  </si>
  <si>
    <t>Initial impact</t>
  </si>
  <si>
    <t>TOTAL % COVERED</t>
  </si>
  <si>
    <t>Scenario type</t>
  </si>
  <si>
    <t>REbgPoyh</t>
  </si>
  <si>
    <t>Saved scenarios</t>
  </si>
  <si>
    <t>4OUUD/12</t>
  </si>
  <si>
    <t>Assumption calculations</t>
  </si>
  <si>
    <t>All output</t>
  </si>
  <si>
    <t>Assumptions for model</t>
  </si>
  <si>
    <t>Saved scenarios for countries (copy-and-paste into Master Switch to use)</t>
  </si>
  <si>
    <t>Calculations (DO NOT TOUCH)</t>
  </si>
  <si>
    <t>Calculations to figure out % (DO NOT TOUCH)</t>
  </si>
  <si>
    <t>Severe Acute Malnutrition (SAM) Intervention model</t>
  </si>
  <si>
    <r>
      <rPr>
        <b/>
        <sz val="10"/>
        <color theme="5"/>
        <rFont val="Arial"/>
        <family val="2"/>
        <scheme val="minor"/>
      </rPr>
      <t>Tops-down estimate</t>
    </r>
    <r>
      <rPr>
        <sz val="10"/>
        <color theme="5"/>
        <rFont val="Arial"/>
        <family val="2"/>
        <scheme val="minor"/>
      </rPr>
      <t xml:space="preserve"> of the impact of using 6 different interventions into SAM management program</t>
    </r>
  </si>
  <si>
    <t>Available treatment to cover x% of children being treated</t>
  </si>
  <si>
    <t>Available supervisors / health works to cover x% of all children being treated</t>
  </si>
  <si>
    <t>Training and Supervision</t>
  </si>
  <si>
    <t>% increased</t>
  </si>
  <si>
    <t>N/A</t>
  </si>
  <si>
    <t>Correction Factors</t>
  </si>
  <si>
    <t>Utilization impact</t>
  </si>
  <si>
    <t>Maximum</t>
  </si>
  <si>
    <t>Pts lost</t>
  </si>
  <si>
    <t>% community mobilization</t>
  </si>
  <si>
    <t>% human resources</t>
  </si>
  <si>
    <t>% commodity availability</t>
  </si>
  <si>
    <t>Factor</t>
  </si>
  <si>
    <t>Available community health workers to screen and refer x% of all children with SAM in coverage area</t>
  </si>
  <si>
    <t>% of children screened that will be go for treatment</t>
  </si>
  <si>
    <t># treated</t>
  </si>
  <si>
    <t>Personnel</t>
  </si>
  <si>
    <t>Cost per child treated</t>
  </si>
  <si>
    <t>Cost per child cured</t>
  </si>
  <si>
    <t>TOTAL CHECK</t>
  </si>
  <si>
    <t>Subtotal impact</t>
  </si>
  <si>
    <t>New initial impact</t>
  </si>
  <si>
    <t>Utilization correction</t>
  </si>
  <si>
    <t>Utilization of services (yoy increase)</t>
  </si>
  <si>
    <t>Per ppt growth in Utilization #</t>
  </si>
  <si>
    <t>Worst case</t>
  </si>
  <si>
    <t>Best case</t>
  </si>
  <si>
    <t>&lt;--- See 'Saved Scenarios' tab to adjust Worst, Base, and Best case scenarios</t>
  </si>
  <si>
    <t>&lt;--- Cost increase of supplies</t>
  </si>
  <si>
    <t>&lt;--- COMPASS REDUCTION INCLUDED IN MANGO (i.e. never do COMPASS without MANGO)</t>
  </si>
  <si>
    <t>&lt;--- Change for country specific data</t>
  </si>
  <si>
    <t>Multiple interventions impacting one lever</t>
  </si>
  <si>
    <t>Largest growth</t>
  </si>
  <si>
    <t>2nd largest growth</t>
  </si>
  <si>
    <t>3rd largest growth</t>
  </si>
  <si>
    <t>4th largest growth</t>
  </si>
  <si>
    <t>5th largest growth</t>
  </si>
  <si>
    <t>6th largest growth</t>
  </si>
  <si>
    <t>Max commodities</t>
  </si>
  <si>
    <t>Maximum commodities</t>
  </si>
  <si>
    <t># of children treated (by year)</t>
  </si>
  <si>
    <t>YoY growth rate</t>
  </si>
  <si>
    <t>Children screened and referred</t>
  </si>
  <si>
    <t>Children treated &amp; continuing care</t>
  </si>
  <si>
    <t>Children cured</t>
  </si>
  <si>
    <t>Cost per treated</t>
  </si>
  <si>
    <t>Children going to treatment</t>
  </si>
  <si>
    <t>Does supply of RUTF limit # treated?</t>
  </si>
  <si>
    <t>Cost of interventions</t>
  </si>
  <si>
    <t>Impact of interventions (M)</t>
  </si>
  <si>
    <t>vg6TZYnY</t>
  </si>
  <si>
    <t># of children treated &amp; continuing treatment</t>
  </si>
  <si>
    <t># able to be treated given human resources</t>
  </si>
  <si>
    <t># able to be treated given commodities</t>
  </si>
  <si>
    <t># able to be treated given commodities (without max)</t>
  </si>
  <si>
    <t>Intervention impact</t>
  </si>
  <si>
    <t>Intervention costs</t>
  </si>
  <si>
    <t>Family MUAC</t>
  </si>
  <si>
    <t>'Case' assumption:</t>
  </si>
  <si>
    <t>'Case'</t>
  </si>
  <si>
    <t>'Scenario' assumption:</t>
  </si>
  <si>
    <t>'World' assumption:</t>
  </si>
  <si>
    <t>On</t>
  </si>
  <si>
    <t>Off</t>
  </si>
  <si>
    <t>'Starting point'</t>
  </si>
  <si>
    <t>World</t>
  </si>
  <si>
    <t>&lt;--- Change on Saved Scenarios tab</t>
  </si>
  <si>
    <t>1M archetype</t>
  </si>
  <si>
    <t>TBD1</t>
  </si>
  <si>
    <t>TBD2</t>
  </si>
  <si>
    <t>&lt;--- Change to max commodity availability</t>
  </si>
  <si>
    <t>'Starting point' assumption:</t>
  </si>
  <si>
    <t>&lt;---Add countries as desired</t>
  </si>
  <si>
    <t>TBD3</t>
  </si>
  <si>
    <t>Year 0</t>
  </si>
  <si>
    <t>Year 5</t>
  </si>
  <si>
    <t>Incremental</t>
  </si>
  <si>
    <t>Attrition of Children with SAM</t>
  </si>
  <si>
    <t>% to next stage</t>
  </si>
  <si>
    <t>'15-17</t>
  </si>
  <si>
    <t>'17-20</t>
  </si>
  <si>
    <t>'15-20</t>
  </si>
  <si>
    <t>Pefect World Output</t>
  </si>
  <si>
    <t>Children treated (commodity)</t>
  </si>
  <si>
    <t>Children treated (human resources)</t>
  </si>
  <si>
    <t>community mobilization</t>
  </si>
  <si>
    <t>utilization of services</t>
  </si>
  <si>
    <t>commodity availability</t>
  </si>
  <si>
    <t>human resources</t>
  </si>
  <si>
    <t>continuity of services</t>
  </si>
  <si>
    <t>quality of services</t>
  </si>
  <si>
    <t>Children treated incremental</t>
  </si>
  <si>
    <t>Cascades</t>
  </si>
  <si>
    <t>Year:</t>
  </si>
  <si>
    <t>Children screened</t>
  </si>
  <si>
    <t>Children completed referral</t>
  </si>
  <si>
    <t>Enough product to treat</t>
  </si>
  <si>
    <t>Enough staff to treat</t>
  </si>
  <si>
    <t>Children completed treatment cycle</t>
  </si>
  <si>
    <t>2020 incremental</t>
  </si>
  <si>
    <t>tK+96x6z</t>
  </si>
  <si>
    <t>Slide output</t>
  </si>
  <si>
    <t>&lt;--- only affects Impact, not Cost</t>
  </si>
  <si>
    <t>Economies of Scale Dampening</t>
  </si>
  <si>
    <t>&lt;--- Cost increase for training, supervision, and personnel</t>
  </si>
  <si>
    <t>Supplies</t>
  </si>
  <si>
    <t>Training, Supervision, and Personnel</t>
  </si>
  <si>
    <t>&lt;--- Training scales slower than supplies</t>
  </si>
  <si>
    <t>zUdtPdbn</t>
  </si>
  <si>
    <t>DO NOT USE &gt;&gt;&gt;</t>
  </si>
  <si>
    <t>Detailed Assumptions</t>
  </si>
  <si>
    <t>FOR USE - ASSUMPTIONS</t>
  </si>
  <si>
    <t>PERFECT WORLD</t>
  </si>
  <si>
    <t>REAL WORLD</t>
  </si>
  <si>
    <t>World' Options</t>
  </si>
  <si>
    <t>'Scenario' Options</t>
  </si>
  <si>
    <t>MANUAL</t>
  </si>
  <si>
    <t>Supply-Side Only</t>
  </si>
  <si>
    <t>Demand-Side Only</t>
  </si>
  <si>
    <t>Manual</t>
  </si>
  <si>
    <t>Step 2: For the selected 'Scenario' option, turn on or off each intervention</t>
  </si>
  <si>
    <t>Step 2: For the selected 'World' option, set yearly activation level of each intervention</t>
  </si>
  <si>
    <t>&lt;---- Changes on 'FOR USE' tab</t>
  </si>
  <si>
    <t>OUTPUT</t>
  </si>
  <si>
    <t>Growth ('15-20)</t>
  </si>
  <si>
    <t>INPUT #2: ROLL-OUT OF INTERVENTIONS</t>
  </si>
  <si>
    <t>INPUT #3: INTERVENTIONS TURNED ON</t>
  </si>
  <si>
    <t>INPUT #1: CASCADE BASE CASE</t>
  </si>
  <si>
    <t>% of children with SAM screened</t>
  </si>
  <si>
    <t>% of children screened that seek treatment</t>
  </si>
  <si>
    <t>% of children seeking treatment at location where there is enough RUTF to treat</t>
  </si>
  <si>
    <t>% of children seeking treatment at location where there is enough staff to treat</t>
  </si>
  <si>
    <t>% of children receiving treatment that complete treatment cycle</t>
  </si>
  <si>
    <t>% of children completing treatment cycle that will be cured</t>
  </si>
  <si>
    <t>Interventions (on/off)</t>
  </si>
  <si>
    <t xml:space="preserve">This assumes that supply lags demand by one year </t>
  </si>
  <si>
    <t>Utilization of services (total)</t>
  </si>
  <si>
    <t>Treated with RUTF (total)</t>
  </si>
  <si>
    <t>Element</t>
  </si>
  <si>
    <t>Value*</t>
  </si>
  <si>
    <t>*refers to the % of SAM cases that make it through to the next element of the pathway</t>
  </si>
  <si>
    <t>Completed referral</t>
  </si>
  <si>
    <t>Completed treatment cycle</t>
  </si>
  <si>
    <t>Cured</t>
  </si>
  <si>
    <t>Last changed on: 08-Jun-2017</t>
  </si>
  <si>
    <t>Base Case</t>
  </si>
  <si>
    <t>Real World</t>
  </si>
  <si>
    <r>
      <t xml:space="preserve">Record values for the cascade today:    </t>
    </r>
    <r>
      <rPr>
        <sz val="10"/>
        <color theme="1"/>
        <rFont val="Times New Roman"/>
        <family val="1"/>
      </rPr>
      <t>The "Value" column shows what percentage of children under 5 transition from one part of the treatment cascade to the next. For example, the first value, 25%, indicates that around 25% of children with SAM are able to be screened today. These values are sourced from the literature on SAM treatment; as with all numbers in green, you can toggle these values to your own assumptions.</t>
    </r>
  </si>
  <si>
    <r>
      <t xml:space="preserve">Step 1: Select 'World'; you can select Manual to set-up a new 'World':     </t>
    </r>
    <r>
      <rPr>
        <sz val="10"/>
        <color theme="1"/>
        <rFont val="Times New Roman"/>
        <family val="1"/>
      </rPr>
      <t>The cell below labeled "World Options" contains a dropdown tab where you can select the 'world' the projections will run on. These 'worlds' describe how quickly innovations scale up over time: for each intervention, you can estimate what percentage of worldwide programs are able to use the new protocol. These percentages are meant to reflect realistic assumptions about when trials finish and the difficulty of scaling different protocols. We have preset two worlds already, a "Perfect" world and a "Real" world. For example, the slower scaleup of Local Production in the "Real" world indicates that the model may take longer to implement in a wide variety of contexts. We provide a "Manual" world and recommend you input your assumptions on scaleup in the green cells.</t>
    </r>
  </si>
  <si>
    <r>
      <t xml:space="preserve">Step 1: Select 'Scenario'; you can select Manual to set up a new 'Scenario':       </t>
    </r>
    <r>
      <rPr>
        <sz val="10"/>
        <color theme="1"/>
        <rFont val="Times New Roman"/>
        <family val="1"/>
      </rPr>
      <t>In addition to how quickly interventions scaleup, you can also select *which* interventions  are part of the projections. You can toggle the "Scenario Options" dropdown to select the case. The 'Base case' includes all innovations, but you can also model, for example, a 'Demand-side only' scenario, which only includes projections for treatment-seeking interventions. We include a 'Manual' case, where you can choose which interventions to project.</t>
    </r>
  </si>
  <si>
    <r>
      <t xml:space="preserve">Output graph:    </t>
    </r>
    <r>
      <rPr>
        <sz val="10"/>
        <color theme="1"/>
        <rFont val="Times New Roman"/>
        <family val="1"/>
      </rPr>
      <t>This graph takes the assumptions you selected in the INPUT tab, and models out how many children under 5 proceed from each section of the treatment cascade to the next.</t>
    </r>
  </si>
  <si>
    <r>
      <t xml:space="preserve">Output table:    </t>
    </r>
    <r>
      <rPr>
        <sz val="10"/>
        <color theme="1"/>
        <rFont val="Times New Roman"/>
        <family val="1"/>
      </rPr>
      <t>This table takes the assumptions you selected in the INPUT tab, and shows what number of children proceed from one section of the treatment cascade to the next. Growth in cost per child is also shown.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</si>
</sst>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quot;$&quot;#,##0_);[Red]\(&quot;$&quot;#,##0\)"/>
    <numFmt numFmtId="165" formatCode="&quot;$&quot;#,##0.00_);[Red]\(&quot;$&quot;#,##0.00\)"/>
    <numFmt numFmtId="166" formatCode="_-* #,##0.00\ _€_-;\-* #,##0.00\ _€_-;_-* &quot;-&quot;??\ _€_-;_-@_-"/>
    <numFmt numFmtId="167" formatCode="0.0%"/>
    <numFmt numFmtId="168" formatCode="#,##0.0"/>
    <numFmt numFmtId="169" formatCode="0.0000"/>
    <numFmt numFmtId="170" formatCode="0.0000%"/>
    <numFmt numFmtId="171" formatCode="#,##0.000"/>
    <numFmt numFmtId="172" formatCode="0.0"/>
    <numFmt numFmtId="173" formatCode="_(&quot;$&quot;* #,##0_);_(&quot;$&quot;* \(#,##0\);_(&quot;$&quot;* &quot;-&quot;??_);_(@_)"/>
  </numFmts>
  <fonts count="55" x14ac:knownFonts="1">
    <font>
      <sz val="10"/>
      <color theme="1"/>
      <name val="Arial"/>
      <family val="2"/>
      <scheme val="minor"/>
    </font>
    <font>
      <sz val="10"/>
      <color theme="1"/>
      <name val="Arial"/>
      <family val="2"/>
      <scheme val="minor"/>
    </font>
    <font>
      <b/>
      <sz val="10"/>
      <color theme="2"/>
      <name val="Arial"/>
      <family val="2"/>
      <scheme val="major"/>
    </font>
    <font>
      <b/>
      <sz val="12"/>
      <color theme="2"/>
      <name val="Arial"/>
      <family val="2"/>
      <scheme val="major"/>
    </font>
    <font>
      <b/>
      <sz val="10"/>
      <color theme="1"/>
      <name val="Arial"/>
      <family val="2"/>
      <scheme val="minor"/>
    </font>
    <font>
      <b/>
      <sz val="10"/>
      <color theme="1"/>
      <name val="Arial"/>
      <family val="2"/>
      <scheme val="major"/>
    </font>
    <font>
      <b/>
      <sz val="10"/>
      <color theme="8"/>
      <name val="Arial"/>
      <family val="2"/>
      <scheme val="minor"/>
    </font>
    <font>
      <b/>
      <sz val="10"/>
      <color rgb="FF007932"/>
      <name val="Arial"/>
      <family val="2"/>
      <scheme val="minor"/>
    </font>
    <font>
      <sz val="10"/>
      <color theme="3"/>
      <name val="Arial"/>
      <family val="2"/>
      <scheme val="minor"/>
    </font>
    <font>
      <sz val="10"/>
      <color rgb="FF007932"/>
      <name val="Arial"/>
      <family val="2"/>
      <scheme val="minor"/>
    </font>
    <font>
      <sz val="10"/>
      <color rgb="FF9C6500"/>
      <name val="Arial"/>
      <family val="2"/>
      <scheme val="minor"/>
    </font>
    <font>
      <b/>
      <sz val="10"/>
      <color theme="4"/>
      <name val="Arial"/>
      <family val="2"/>
      <scheme val="minor"/>
    </font>
    <font>
      <u/>
      <sz val="10"/>
      <color rgb="FF5E1DBF"/>
      <name val="Arial"/>
      <family val="2"/>
      <scheme val="minor"/>
    </font>
    <font>
      <sz val="10"/>
      <color rgb="FF5E1DBF"/>
      <name val="Arial"/>
      <family val="2"/>
      <scheme val="minor"/>
    </font>
    <font>
      <sz val="10"/>
      <color rgb="FF3F3F3F"/>
      <name val="Arial"/>
      <family val="2"/>
      <scheme val="minor"/>
    </font>
    <font>
      <b/>
      <sz val="10"/>
      <color theme="3"/>
      <name val="Arial"/>
      <family val="2"/>
      <scheme val="minor"/>
    </font>
    <font>
      <sz val="10"/>
      <color theme="5"/>
      <name val="Arial"/>
      <family val="2"/>
      <scheme val="minor"/>
    </font>
    <font>
      <sz val="10"/>
      <color rgb="FF5E1D65"/>
      <name val="Arial"/>
      <family val="2"/>
      <scheme val="minor"/>
    </font>
    <font>
      <b/>
      <sz val="10"/>
      <color theme="5"/>
      <name val="Arial"/>
      <family val="2"/>
      <scheme val="minor"/>
    </font>
    <font>
      <sz val="10"/>
      <color theme="2"/>
      <name val="Arial"/>
      <family val="2"/>
      <scheme val="minor"/>
    </font>
    <font>
      <u/>
      <sz val="10"/>
      <color theme="10"/>
      <name val="Arial"/>
      <family val="2"/>
      <scheme val="minor"/>
    </font>
    <font>
      <b/>
      <sz val="10"/>
      <name val="Arial"/>
      <family val="2"/>
      <scheme val="major"/>
    </font>
    <font>
      <b/>
      <sz val="10"/>
      <color theme="2"/>
      <name val="Arial"/>
      <family val="2"/>
      <scheme val="minor"/>
    </font>
    <font>
      <i/>
      <sz val="10"/>
      <color theme="4"/>
      <name val="Arial"/>
      <family val="2"/>
      <scheme val="minor"/>
    </font>
    <font>
      <sz val="10"/>
      <color rgb="FF000000"/>
      <name val="Arial"/>
      <family val="2"/>
      <scheme val="minor"/>
    </font>
    <font>
      <b/>
      <sz val="14"/>
      <color theme="1"/>
      <name val="Arial"/>
      <family val="2"/>
      <scheme val="minor"/>
    </font>
    <font>
      <sz val="1"/>
      <color theme="1"/>
      <name val="Arial"/>
      <family val="2"/>
      <scheme val="minor"/>
    </font>
    <font>
      <sz val="5"/>
      <color theme="1"/>
      <name val="Arial"/>
      <family val="2"/>
      <scheme val="minor"/>
    </font>
    <font>
      <u/>
      <sz val="10"/>
      <color rgb="FFFFFFFF"/>
      <name val="Arial"/>
      <family val="2"/>
      <scheme val="minor"/>
    </font>
    <font>
      <u/>
      <sz val="10"/>
      <color theme="1"/>
      <name val="Arial"/>
      <family val="2"/>
      <scheme val="minor"/>
    </font>
    <font>
      <i/>
      <sz val="10"/>
      <color theme="1"/>
      <name val="Arial"/>
      <family val="2"/>
      <scheme val="minor"/>
    </font>
    <font>
      <sz val="10"/>
      <name val="Arial"/>
      <family val="2"/>
      <scheme val="minor"/>
    </font>
    <font>
      <sz val="10"/>
      <color theme="7" tint="-0.249977111117893"/>
      <name val="Arial"/>
      <family val="2"/>
      <scheme val="minor"/>
    </font>
    <font>
      <b/>
      <sz val="10"/>
      <color theme="7" tint="-0.249977111117893"/>
      <name val="Arial"/>
      <family val="2"/>
      <scheme val="minor"/>
    </font>
    <font>
      <b/>
      <sz val="10"/>
      <name val="Arial"/>
      <family val="2"/>
      <scheme val="minor"/>
    </font>
    <font>
      <i/>
      <sz val="10"/>
      <color rgb="FF7030A0"/>
      <name val="Arial"/>
      <family val="2"/>
      <scheme val="minor"/>
    </font>
    <font>
      <b/>
      <i/>
      <sz val="10"/>
      <color theme="1"/>
      <name val="Arial"/>
      <family val="2"/>
      <scheme val="minor"/>
    </font>
    <font>
      <i/>
      <sz val="10"/>
      <name val="Arial"/>
      <family val="2"/>
      <scheme val="minor"/>
    </font>
    <font>
      <sz val="10"/>
      <color rgb="FF7030A0"/>
      <name val="Arial"/>
      <family val="2"/>
      <scheme val="minor"/>
    </font>
    <font>
      <sz val="10"/>
      <color theme="1"/>
      <name val="Times New Roman"/>
      <family val="1"/>
    </font>
    <font>
      <b/>
      <sz val="10"/>
      <color theme="2"/>
      <name val="Times New Roman"/>
      <family val="1"/>
    </font>
    <font>
      <sz val="10"/>
      <color theme="2"/>
      <name val="Times New Roman"/>
      <family val="1"/>
    </font>
    <font>
      <b/>
      <i/>
      <sz val="10"/>
      <color theme="1"/>
      <name val="Times New Roman"/>
      <family val="1"/>
    </font>
    <font>
      <b/>
      <sz val="10"/>
      <name val="Times New Roman"/>
      <family val="1"/>
    </font>
    <font>
      <i/>
      <sz val="10"/>
      <color theme="1"/>
      <name val="Times New Roman"/>
      <family val="1"/>
    </font>
    <font>
      <u/>
      <sz val="10"/>
      <color theme="1"/>
      <name val="Times New Roman"/>
      <family val="1"/>
    </font>
    <font>
      <b/>
      <sz val="10"/>
      <color theme="1"/>
      <name val="Times New Roman"/>
      <family val="1"/>
    </font>
    <font>
      <sz val="10"/>
      <color theme="7" tint="-0.249977111117893"/>
      <name val="Times New Roman"/>
      <family val="1"/>
    </font>
    <font>
      <sz val="10"/>
      <name val="Times New Roman"/>
      <family val="1"/>
    </font>
    <font>
      <b/>
      <u/>
      <sz val="10"/>
      <color theme="1"/>
      <name val="Times New Roman"/>
      <family val="1"/>
    </font>
    <font>
      <sz val="10"/>
      <color theme="7" tint="-0.499984740745262"/>
      <name val="Times New Roman"/>
      <family val="1"/>
    </font>
    <font>
      <sz val="10"/>
      <color theme="7"/>
      <name val="Times New Roman"/>
      <family val="1"/>
    </font>
    <font>
      <sz val="10"/>
      <color rgb="FF002060"/>
      <name val="Times New Roman"/>
      <family val="1"/>
    </font>
    <font>
      <b/>
      <sz val="10"/>
      <color rgb="FF002060"/>
      <name val="Times New Roman"/>
      <family val="1"/>
    </font>
    <font>
      <u/>
      <sz val="10"/>
      <color theme="11"/>
      <name val="Arial"/>
      <family val="2"/>
      <scheme val="minor"/>
    </font>
  </fonts>
  <fills count="30">
    <fill>
      <patternFill patternType="none"/>
    </fill>
    <fill>
      <patternFill patternType="gray125"/>
    </fill>
    <fill>
      <patternFill patternType="solid">
        <fgColor theme="3"/>
        <bgColor indexed="64"/>
      </patternFill>
    </fill>
    <fill>
      <patternFill patternType="solid">
        <fgColor rgb="FFFFEB9C"/>
      </patternFill>
    </fill>
    <fill>
      <patternFill patternType="solid">
        <fgColor theme="5"/>
        <bgColor indexed="64"/>
      </patternFill>
    </fill>
    <fill>
      <patternFill patternType="solid">
        <fgColor theme="4"/>
        <bgColor indexed="64"/>
      </patternFill>
    </fill>
    <fill>
      <patternFill patternType="solid">
        <fgColor theme="3" tint="0.79998168889431442"/>
        <bgColor indexed="64"/>
      </patternFill>
    </fill>
    <fill>
      <patternFill patternType="solid">
        <fgColor theme="9" tint="0.59996337778862885"/>
        <bgColor indexed="64"/>
      </patternFill>
    </fill>
    <fill>
      <patternFill patternType="solid">
        <fgColor rgb="FFFFFFFF"/>
        <bgColor indexed="64"/>
      </patternFill>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
      <patternFill patternType="solid">
        <fgColor rgb="FF0091BF"/>
        <bgColor indexed="64"/>
      </patternFill>
    </fill>
    <fill>
      <patternFill patternType="solid">
        <fgColor theme="0" tint="-0.499984740745262"/>
        <bgColor indexed="64"/>
      </patternFill>
    </fill>
    <fill>
      <patternFill patternType="solid">
        <fgColor theme="8"/>
        <bgColor indexed="64"/>
      </patternFill>
    </fill>
    <fill>
      <patternFill patternType="solid">
        <fgColor theme="0" tint="-0.249977111117893"/>
        <bgColor indexed="64"/>
      </patternFill>
    </fill>
    <fill>
      <patternFill patternType="solid">
        <fgColor theme="0" tint="-9.9978637043366805E-2"/>
        <bgColor indexed="64"/>
      </patternFill>
    </fill>
    <fill>
      <patternFill patternType="solid">
        <fgColor rgb="FF777777"/>
        <bgColor indexed="64"/>
      </patternFill>
    </fill>
    <fill>
      <patternFill patternType="solid">
        <fgColor rgb="FFFFFF00"/>
        <bgColor indexed="64"/>
      </patternFill>
    </fill>
    <fill>
      <patternFill patternType="solid">
        <fgColor theme="7"/>
        <bgColor indexed="64"/>
      </patternFill>
    </fill>
    <fill>
      <patternFill patternType="solid">
        <fgColor theme="9"/>
        <bgColor indexed="64"/>
      </patternFill>
    </fill>
    <fill>
      <patternFill patternType="solid">
        <fgColor rgb="FF6F6F6F"/>
        <bgColor indexed="64"/>
      </patternFill>
    </fill>
    <fill>
      <patternFill patternType="solid">
        <fgColor rgb="FF000000"/>
        <bgColor indexed="64"/>
      </patternFill>
    </fill>
    <fill>
      <patternFill patternType="solid">
        <fgColor theme="1"/>
        <bgColor indexed="64"/>
      </patternFill>
    </fill>
    <fill>
      <patternFill patternType="solid">
        <fgColor rgb="FF61A48D"/>
        <bgColor indexed="64"/>
      </patternFill>
    </fill>
    <fill>
      <patternFill patternType="solid">
        <fgColor rgb="FFFFC000"/>
        <bgColor indexed="64"/>
      </patternFill>
    </fill>
    <fill>
      <patternFill patternType="solid">
        <fgColor theme="8"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rgb="FF92D050"/>
        <bgColor indexed="64"/>
      </patternFill>
    </fill>
  </fills>
  <borders count="55">
    <border>
      <left/>
      <right/>
      <top/>
      <bottom/>
      <diagonal/>
    </border>
    <border>
      <left style="thin">
        <color theme="2"/>
      </left>
      <right style="thin">
        <color theme="2"/>
      </right>
      <top style="thin">
        <color theme="2"/>
      </top>
      <bottom style="thin">
        <color theme="2"/>
      </bottom>
      <diagonal/>
    </border>
    <border>
      <left style="thin">
        <color theme="5"/>
      </left>
      <right/>
      <top/>
      <bottom/>
      <diagonal/>
    </border>
    <border>
      <left/>
      <right style="thin">
        <color theme="5"/>
      </right>
      <top/>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style="thin">
        <color theme="2"/>
      </left>
      <right style="thin">
        <color theme="5"/>
      </right>
      <top/>
      <bottom/>
      <diagonal/>
    </border>
    <border>
      <left style="thin">
        <color theme="2"/>
      </left>
      <right style="thin">
        <color theme="2"/>
      </right>
      <top style="thin">
        <color theme="2"/>
      </top>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theme="2"/>
      </top>
      <bottom style="thin">
        <color rgb="FFFFFFFF"/>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right style="medium">
        <color auto="1"/>
      </right>
      <top style="thin">
        <color auto="1"/>
      </top>
      <bottom style="thin">
        <color auto="1"/>
      </bottom>
      <diagonal/>
    </border>
  </borders>
  <cellStyleXfs count="30">
    <xf numFmtId="0" fontId="0" fillId="0" borderId="0"/>
    <xf numFmtId="0" fontId="12" fillId="0" borderId="0" applyNumberFormat="0" applyFill="0" applyBorder="0" applyAlignment="0" applyProtection="0"/>
    <xf numFmtId="0" fontId="21" fillId="9" borderId="0" applyNumberFormat="0" applyBorder="0" applyAlignment="0" applyProtection="0">
      <alignment horizontal="left"/>
    </xf>
    <xf numFmtId="0" fontId="3" fillId="4" borderId="1" applyNumberFormat="0">
      <alignment horizontal="centerContinuous" vertical="center"/>
    </xf>
    <xf numFmtId="0" fontId="2" fillId="5" borderId="1" applyNumberFormat="0">
      <alignment horizontal="centerContinuous" vertical="center"/>
    </xf>
    <xf numFmtId="0" fontId="4" fillId="11" borderId="1" applyNumberFormat="0">
      <alignment horizontal="centerContinuous" vertical="center"/>
    </xf>
    <xf numFmtId="0" fontId="5" fillId="11" borderId="1" applyNumberFormat="0">
      <alignment horizontal="centerContinuous" vertical="center"/>
    </xf>
    <xf numFmtId="0" fontId="9" fillId="7" borderId="0" applyNumberFormat="0" applyBorder="0" applyAlignment="0" applyProtection="0"/>
    <xf numFmtId="0" fontId="8" fillId="6" borderId="0" applyNumberFormat="0" applyBorder="0" applyAlignment="0" applyProtection="0"/>
    <xf numFmtId="0" fontId="10" fillId="3" borderId="0" applyNumberFormat="0" applyBorder="0" applyAlignment="0" applyProtection="0"/>
    <xf numFmtId="0" fontId="6" fillId="0" borderId="0" applyNumberFormat="0" applyFill="0" applyBorder="0" applyAlignment="0" applyProtection="0"/>
    <xf numFmtId="0" fontId="14" fillId="0" borderId="0" applyNumberFormat="0" applyFont="0" applyFill="0" applyBorder="0" applyAlignment="0" applyProtection="0"/>
    <xf numFmtId="0" fontId="1" fillId="0" borderId="0" applyNumberFormat="0" applyFont="0" applyFill="0" applyBorder="0" applyAlignment="0" applyProtection="0"/>
    <xf numFmtId="0" fontId="13" fillId="0" borderId="0" applyNumberFormat="0" applyFill="0" applyBorder="0" applyAlignment="0" applyProtection="0"/>
    <xf numFmtId="0" fontId="11" fillId="0" borderId="0" applyNumberFormat="0" applyFill="0" applyBorder="0" applyAlignment="0" applyProtection="0"/>
    <xf numFmtId="0" fontId="1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 fillId="0" borderId="0" applyNumberFormat="0" applyFill="0" applyBorder="0" applyAlignment="0" applyProtection="0"/>
    <xf numFmtId="0" fontId="6" fillId="10" borderId="0" applyNumberFormat="0" applyBorder="0" applyAlignment="0">
      <protection locked="0"/>
    </xf>
    <xf numFmtId="0" fontId="7" fillId="7" borderId="0" applyNumberFormat="0" applyBorder="0" applyAlignment="0">
      <protection locked="0"/>
    </xf>
    <xf numFmtId="0" fontId="16" fillId="0" borderId="0" applyNumberFormat="0" applyBorder="0" applyAlignment="0"/>
    <xf numFmtId="0" fontId="17" fillId="0" borderId="0" applyNumberFormat="0" applyBorder="0" applyAlignment="0"/>
    <xf numFmtId="0" fontId="23" fillId="0" borderId="0" applyNumberFormat="0" applyBorder="0" applyAlignment="0">
      <protection locked="0"/>
    </xf>
    <xf numFmtId="0" fontId="22" fillId="2" borderId="0" applyNumberFormat="0" applyBorder="0" applyAlignment="0"/>
    <xf numFmtId="0" fontId="23" fillId="0" borderId="0" applyNumberFormat="0" applyBorder="0" applyAlignment="0"/>
    <xf numFmtId="0" fontId="20" fillId="0" borderId="0" applyNumberFormat="0" applyFill="0" applyBorder="0" applyAlignment="0" applyProtection="0"/>
    <xf numFmtId="166" fontId="1"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cellStyleXfs>
  <cellXfs count="318">
    <xf numFmtId="0" fontId="0" fillId="0" borderId="0" xfId="0"/>
    <xf numFmtId="0" fontId="0" fillId="0" borderId="0" xfId="0"/>
    <xf numFmtId="0" fontId="0" fillId="0" borderId="2" xfId="0" applyBorder="1"/>
    <xf numFmtId="0" fontId="0" fillId="0" borderId="0" xfId="0" applyBorder="1"/>
    <xf numFmtId="0" fontId="0" fillId="0" borderId="3" xfId="0" applyBorder="1"/>
    <xf numFmtId="0" fontId="4" fillId="11" borderId="1" xfId="5" applyBorder="1" applyAlignment="1">
      <alignment horizontal="center" vertical="center"/>
    </xf>
    <xf numFmtId="0" fontId="0" fillId="0" borderId="6" xfId="0" applyBorder="1"/>
    <xf numFmtId="0" fontId="4" fillId="0" borderId="3" xfId="18" applyBorder="1" applyAlignment="1"/>
    <xf numFmtId="0" fontId="0" fillId="0" borderId="3" xfId="0" applyBorder="1" applyAlignment="1"/>
    <xf numFmtId="0" fontId="16" fillId="0" borderId="3" xfId="0" applyFont="1" applyBorder="1" applyAlignment="1">
      <alignment horizontal="center" vertical="center" wrapText="1"/>
    </xf>
    <xf numFmtId="0" fontId="0" fillId="0" borderId="7" xfId="0" applyBorder="1"/>
    <xf numFmtId="0" fontId="0" fillId="0" borderId="5" xfId="0" applyBorder="1" applyAlignment="1">
      <alignment vertical="center"/>
    </xf>
    <xf numFmtId="0" fontId="4" fillId="11" borderId="8" xfId="5" applyBorder="1" applyAlignment="1">
      <alignment horizontal="center" vertical="center"/>
    </xf>
    <xf numFmtId="0" fontId="4" fillId="0" borderId="5" xfId="18" applyBorder="1" applyAlignment="1">
      <alignment vertical="center"/>
    </xf>
    <xf numFmtId="0" fontId="19" fillId="0" borderId="2" xfId="0" applyFont="1" applyBorder="1"/>
    <xf numFmtId="0" fontId="19" fillId="0" borderId="4" xfId="0" applyFont="1" applyBorder="1"/>
    <xf numFmtId="0" fontId="0" fillId="0" borderId="9" xfId="0" applyFill="1" applyBorder="1"/>
    <xf numFmtId="0" fontId="0" fillId="0" borderId="10" xfId="0" applyFill="1" applyBorder="1"/>
    <xf numFmtId="0" fontId="0" fillId="0" borderId="11" xfId="0" applyFill="1" applyBorder="1"/>
    <xf numFmtId="0" fontId="0" fillId="0" borderId="2" xfId="0" applyFill="1" applyBorder="1"/>
    <xf numFmtId="0" fontId="0" fillId="0" borderId="0" xfId="0" applyFill="1" applyBorder="1"/>
    <xf numFmtId="0" fontId="0" fillId="0" borderId="3" xfId="0" applyFill="1" applyBorder="1"/>
    <xf numFmtId="0" fontId="24" fillId="0" borderId="0" xfId="0" applyFont="1" applyBorder="1" applyAlignment="1">
      <alignment vertical="center"/>
    </xf>
    <xf numFmtId="0" fontId="24" fillId="8" borderId="1" xfId="0" applyFont="1" applyFill="1" applyBorder="1" applyAlignment="1">
      <alignment vertical="center"/>
    </xf>
    <xf numFmtId="0" fontId="24" fillId="8" borderId="12" xfId="18" applyFont="1" applyFill="1" applyBorder="1" applyAlignment="1">
      <alignment vertical="center"/>
    </xf>
    <xf numFmtId="0" fontId="26" fillId="2" borderId="2" xfId="0" applyFont="1" applyFill="1" applyBorder="1"/>
    <xf numFmtId="0" fontId="26" fillId="2" borderId="0" xfId="0" applyFont="1" applyFill="1" applyBorder="1"/>
    <xf numFmtId="0" fontId="26" fillId="2" borderId="3" xfId="0" applyFont="1" applyFill="1" applyBorder="1"/>
    <xf numFmtId="0" fontId="26" fillId="0" borderId="0" xfId="0" applyFont="1"/>
    <xf numFmtId="0" fontId="27" fillId="0" borderId="0" xfId="0" applyFont="1" applyFill="1"/>
    <xf numFmtId="0" fontId="27" fillId="0" borderId="0" xfId="0" applyFont="1"/>
    <xf numFmtId="0" fontId="25" fillId="0" borderId="0" xfId="0" applyFont="1" applyFill="1" applyBorder="1" applyAlignment="1">
      <alignment horizontal="center" vertical="center"/>
    </xf>
    <xf numFmtId="0" fontId="28" fillId="12" borderId="12" xfId="26" applyFont="1" applyFill="1" applyBorder="1"/>
    <xf numFmtId="0" fontId="4" fillId="0" borderId="0" xfId="0" applyFont="1"/>
    <xf numFmtId="0" fontId="0" fillId="14" borderId="0" xfId="0" applyFill="1"/>
    <xf numFmtId="0" fontId="0" fillId="0" borderId="14" xfId="0" applyBorder="1"/>
    <xf numFmtId="0" fontId="0" fillId="0" borderId="14" xfId="0" applyBorder="1" applyAlignment="1">
      <alignment horizontal="center"/>
    </xf>
    <xf numFmtId="0" fontId="0" fillId="11" borderId="14" xfId="0" applyFill="1" applyBorder="1" applyAlignment="1">
      <alignment horizontal="center"/>
    </xf>
    <xf numFmtId="0" fontId="30" fillId="0" borderId="0" xfId="0" applyFont="1"/>
    <xf numFmtId="0" fontId="4" fillId="16" borderId="14" xfId="0" applyFont="1" applyFill="1" applyBorder="1" applyAlignment="1">
      <alignment horizontal="center"/>
    </xf>
    <xf numFmtId="0" fontId="22" fillId="13" borderId="14" xfId="0" applyFont="1" applyFill="1" applyBorder="1" applyAlignment="1">
      <alignment horizontal="center"/>
    </xf>
    <xf numFmtId="3" fontId="0" fillId="0" borderId="14" xfId="0" applyNumberFormat="1" applyBorder="1" applyAlignment="1">
      <alignment horizontal="center"/>
    </xf>
    <xf numFmtId="0" fontId="22" fillId="14" borderId="0" xfId="0" applyFont="1" applyFill="1"/>
    <xf numFmtId="9" fontId="0" fillId="0" borderId="0" xfId="0" applyNumberFormat="1"/>
    <xf numFmtId="0" fontId="30" fillId="0" borderId="0" xfId="0" applyFont="1" applyAlignment="1">
      <alignment horizontal="left" indent="1"/>
    </xf>
    <xf numFmtId="9" fontId="0" fillId="0" borderId="14" xfId="0" applyNumberFormat="1" applyBorder="1" applyAlignment="1">
      <alignment horizontal="center"/>
    </xf>
    <xf numFmtId="0" fontId="0" fillId="11" borderId="14" xfId="0" applyFill="1" applyBorder="1"/>
    <xf numFmtId="0" fontId="30" fillId="11" borderId="14" xfId="0" applyFont="1" applyFill="1" applyBorder="1"/>
    <xf numFmtId="0" fontId="4" fillId="11" borderId="14" xfId="0" applyFont="1" applyFill="1" applyBorder="1"/>
    <xf numFmtId="9" fontId="31" fillId="0" borderId="14" xfId="0" applyNumberFormat="1" applyFont="1" applyBorder="1" applyAlignment="1">
      <alignment horizontal="center"/>
    </xf>
    <xf numFmtId="9" fontId="32" fillId="0" borderId="14" xfId="0" applyNumberFormat="1" applyFont="1" applyBorder="1" applyAlignment="1">
      <alignment horizontal="center"/>
    </xf>
    <xf numFmtId="0" fontId="4" fillId="15" borderId="14" xfId="0" applyFont="1" applyFill="1" applyBorder="1" applyAlignment="1">
      <alignment horizontal="center"/>
    </xf>
    <xf numFmtId="9" fontId="30" fillId="0" borderId="0" xfId="0" applyNumberFormat="1" applyFont="1"/>
    <xf numFmtId="3" fontId="4" fillId="0" borderId="14" xfId="0" applyNumberFormat="1" applyFont="1" applyBorder="1" applyAlignment="1">
      <alignment horizontal="center"/>
    </xf>
    <xf numFmtId="0" fontId="4" fillId="11" borderId="14" xfId="0" applyFont="1" applyFill="1" applyBorder="1" applyAlignment="1">
      <alignment horizontal="center"/>
    </xf>
    <xf numFmtId="3" fontId="34" fillId="0" borderId="14" xfId="0" applyNumberFormat="1" applyFont="1" applyBorder="1" applyAlignment="1">
      <alignment horizontal="center"/>
    </xf>
    <xf numFmtId="9" fontId="35" fillId="0" borderId="14" xfId="0" applyNumberFormat="1" applyFont="1" applyBorder="1" applyAlignment="1">
      <alignment horizontal="center"/>
    </xf>
    <xf numFmtId="0" fontId="30" fillId="11" borderId="14" xfId="0" applyFont="1" applyFill="1" applyBorder="1" applyAlignment="1">
      <alignment horizontal="left"/>
    </xf>
    <xf numFmtId="0" fontId="29" fillId="0" borderId="14" xfId="0" applyFont="1" applyBorder="1" applyAlignment="1">
      <alignment horizontal="center"/>
    </xf>
    <xf numFmtId="0" fontId="0" fillId="19" borderId="0" xfId="0" applyFill="1"/>
    <xf numFmtId="0" fontId="22" fillId="19" borderId="0" xfId="0" applyFont="1" applyFill="1"/>
    <xf numFmtId="0" fontId="0" fillId="20" borderId="0" xfId="0" applyFill="1"/>
    <xf numFmtId="0" fontId="22" fillId="20" borderId="0" xfId="0" applyFont="1" applyFill="1"/>
    <xf numFmtId="0" fontId="29" fillId="15" borderId="14" xfId="0" applyFont="1" applyFill="1" applyBorder="1" applyAlignment="1">
      <alignment horizontal="center"/>
    </xf>
    <xf numFmtId="0" fontId="29" fillId="0" borderId="14" xfId="0" applyFont="1" applyBorder="1"/>
    <xf numFmtId="165" fontId="0" fillId="0" borderId="14" xfId="0" applyNumberFormat="1" applyBorder="1" applyAlignment="1">
      <alignment horizontal="center"/>
    </xf>
    <xf numFmtId="0" fontId="4" fillId="11" borderId="20" xfId="0" applyFont="1" applyFill="1" applyBorder="1"/>
    <xf numFmtId="165" fontId="4" fillId="0" borderId="20" xfId="0" applyNumberFormat="1" applyFont="1" applyBorder="1" applyAlignment="1">
      <alignment horizontal="center"/>
    </xf>
    <xf numFmtId="0" fontId="0" fillId="11" borderId="19" xfId="0" applyFill="1" applyBorder="1"/>
    <xf numFmtId="165" fontId="0" fillId="0" borderId="19" xfId="0" applyNumberFormat="1" applyBorder="1" applyAlignment="1">
      <alignment horizontal="center"/>
    </xf>
    <xf numFmtId="9" fontId="0" fillId="0" borderId="20" xfId="0" applyNumberFormat="1" applyBorder="1" applyAlignment="1">
      <alignment horizontal="center"/>
    </xf>
    <xf numFmtId="0" fontId="30" fillId="11" borderId="20" xfId="0" applyFont="1" applyFill="1" applyBorder="1" applyAlignment="1">
      <alignment horizontal="center"/>
    </xf>
    <xf numFmtId="9" fontId="32" fillId="18" borderId="14" xfId="0" applyNumberFormat="1" applyFont="1" applyFill="1" applyBorder="1" applyAlignment="1">
      <alignment horizontal="center"/>
    </xf>
    <xf numFmtId="3" fontId="32" fillId="18" borderId="14" xfId="0" applyNumberFormat="1" applyFont="1" applyFill="1" applyBorder="1" applyAlignment="1">
      <alignment horizontal="center"/>
    </xf>
    <xf numFmtId="9" fontId="32" fillId="9" borderId="14" xfId="0" applyNumberFormat="1" applyFont="1" applyFill="1" applyBorder="1" applyAlignment="1">
      <alignment horizontal="center"/>
    </xf>
    <xf numFmtId="0" fontId="36" fillId="0" borderId="0" xfId="0" applyFont="1"/>
    <xf numFmtId="9" fontId="34" fillId="0" borderId="14" xfId="0" applyNumberFormat="1" applyFont="1" applyBorder="1" applyAlignment="1">
      <alignment horizontal="center"/>
    </xf>
    <xf numFmtId="0" fontId="0" fillId="0" borderId="0" xfId="0" applyNumberFormat="1"/>
    <xf numFmtId="0" fontId="28" fillId="17" borderId="12" xfId="26" applyFont="1" applyFill="1" applyBorder="1"/>
    <xf numFmtId="0" fontId="28" fillId="21" borderId="12" xfId="26" applyFont="1" applyFill="1" applyBorder="1"/>
    <xf numFmtId="4" fontId="0" fillId="0" borderId="0" xfId="0" applyNumberFormat="1"/>
    <xf numFmtId="0" fontId="0" fillId="23" borderId="0" xfId="0" applyFill="1"/>
    <xf numFmtId="0" fontId="4" fillId="11" borderId="20" xfId="0" applyFont="1" applyFill="1" applyBorder="1" applyAlignment="1">
      <alignment horizontal="center"/>
    </xf>
    <xf numFmtId="9" fontId="33" fillId="0" borderId="20" xfId="0" applyNumberFormat="1" applyFont="1" applyBorder="1" applyAlignment="1">
      <alignment horizontal="center"/>
    </xf>
    <xf numFmtId="9" fontId="33" fillId="18" borderId="20" xfId="0" applyNumberFormat="1" applyFont="1" applyFill="1" applyBorder="1" applyAlignment="1">
      <alignment horizontal="center"/>
    </xf>
    <xf numFmtId="0" fontId="0" fillId="11" borderId="19" xfId="0" applyFill="1" applyBorder="1" applyAlignment="1">
      <alignment horizontal="center"/>
    </xf>
    <xf numFmtId="9" fontId="32" fillId="0" borderId="19" xfId="0" applyNumberFormat="1" applyFont="1" applyBorder="1" applyAlignment="1">
      <alignment horizontal="center"/>
    </xf>
    <xf numFmtId="9" fontId="32" fillId="18" borderId="19" xfId="0" applyNumberFormat="1" applyFont="1" applyFill="1" applyBorder="1" applyAlignment="1">
      <alignment horizontal="center"/>
    </xf>
    <xf numFmtId="0" fontId="0" fillId="9" borderId="0" xfId="0" applyFill="1"/>
    <xf numFmtId="167" fontId="32" fillId="18" borderId="14" xfId="0" applyNumberFormat="1" applyFont="1" applyFill="1" applyBorder="1" applyAlignment="1">
      <alignment horizontal="center"/>
    </xf>
    <xf numFmtId="3" fontId="31" fillId="9" borderId="14" xfId="0" applyNumberFormat="1" applyFont="1" applyFill="1" applyBorder="1" applyAlignment="1">
      <alignment horizontal="center"/>
    </xf>
    <xf numFmtId="9" fontId="31" fillId="0" borderId="20" xfId="0" applyNumberFormat="1" applyFont="1" applyBorder="1" applyAlignment="1">
      <alignment horizontal="center"/>
    </xf>
    <xf numFmtId="9" fontId="31" fillId="0" borderId="19" xfId="0" applyNumberFormat="1" applyFont="1" applyBorder="1" applyAlignment="1">
      <alignment horizontal="center"/>
    </xf>
    <xf numFmtId="9" fontId="37" fillId="0" borderId="20" xfId="0" applyNumberFormat="1" applyFont="1" applyBorder="1" applyAlignment="1">
      <alignment horizontal="center"/>
    </xf>
    <xf numFmtId="9" fontId="34" fillId="0" borderId="20" xfId="0" applyNumberFormat="1" applyFont="1" applyBorder="1" applyAlignment="1">
      <alignment horizontal="center"/>
    </xf>
    <xf numFmtId="0" fontId="30" fillId="11" borderId="19" xfId="0" applyFont="1" applyFill="1" applyBorder="1" applyAlignment="1">
      <alignment horizontal="center"/>
    </xf>
    <xf numFmtId="9" fontId="37" fillId="0" borderId="19" xfId="0" applyNumberFormat="1" applyFont="1" applyBorder="1" applyAlignment="1">
      <alignment horizontal="center"/>
    </xf>
    <xf numFmtId="9" fontId="4" fillId="11" borderId="20" xfId="0" applyNumberFormat="1" applyFont="1" applyFill="1" applyBorder="1" applyAlignment="1">
      <alignment horizontal="center"/>
    </xf>
    <xf numFmtId="9" fontId="4" fillId="0" borderId="0" xfId="0" applyNumberFormat="1" applyFont="1"/>
    <xf numFmtId="0" fontId="22" fillId="9" borderId="0" xfId="0" applyFont="1" applyFill="1"/>
    <xf numFmtId="9" fontId="4" fillId="11" borderId="18" xfId="0" applyNumberFormat="1" applyFont="1" applyFill="1" applyBorder="1" applyAlignment="1">
      <alignment horizontal="center"/>
    </xf>
    <xf numFmtId="9" fontId="34" fillId="0" borderId="18" xfId="0" applyNumberFormat="1" applyFont="1" applyBorder="1" applyAlignment="1">
      <alignment horizontal="center"/>
    </xf>
    <xf numFmtId="169" fontId="0" fillId="0" borderId="0" xfId="0" applyNumberFormat="1"/>
    <xf numFmtId="9" fontId="0" fillId="11" borderId="14" xfId="0" applyNumberFormat="1" applyFont="1" applyFill="1" applyBorder="1" applyAlignment="1">
      <alignment horizontal="center"/>
    </xf>
    <xf numFmtId="9" fontId="0" fillId="11" borderId="20" xfId="0" applyNumberFormat="1" applyFont="1" applyFill="1" applyBorder="1" applyAlignment="1">
      <alignment horizontal="center"/>
    </xf>
    <xf numFmtId="9" fontId="0" fillId="11" borderId="19" xfId="0" applyNumberFormat="1" applyFont="1" applyFill="1" applyBorder="1" applyAlignment="1">
      <alignment horizontal="center"/>
    </xf>
    <xf numFmtId="3" fontId="38" fillId="0" borderId="14" xfId="0" applyNumberFormat="1" applyFont="1" applyBorder="1" applyAlignment="1">
      <alignment horizontal="center"/>
    </xf>
    <xf numFmtId="0" fontId="30" fillId="11" borderId="32" xfId="0" applyFont="1" applyFill="1" applyBorder="1" applyAlignment="1">
      <alignment horizontal="center"/>
    </xf>
    <xf numFmtId="3" fontId="0" fillId="0" borderId="33" xfId="0" applyNumberFormat="1" applyBorder="1" applyAlignment="1">
      <alignment horizontal="center"/>
    </xf>
    <xf numFmtId="3" fontId="4" fillId="11" borderId="14" xfId="0" applyNumberFormat="1" applyFont="1" applyFill="1" applyBorder="1" applyAlignment="1">
      <alignment horizontal="center"/>
    </xf>
    <xf numFmtId="9" fontId="0" fillId="11" borderId="34" xfId="0" applyNumberFormat="1" applyFill="1" applyBorder="1" applyAlignment="1">
      <alignment horizontal="center"/>
    </xf>
    <xf numFmtId="0" fontId="0" fillId="11" borderId="24" xfId="0" applyFill="1" applyBorder="1"/>
    <xf numFmtId="0" fontId="0" fillId="11" borderId="25" xfId="0" applyFill="1" applyBorder="1"/>
    <xf numFmtId="168" fontId="4" fillId="0" borderId="14" xfId="0" applyNumberFormat="1" applyFont="1" applyBorder="1" applyAlignment="1">
      <alignment horizontal="center"/>
    </xf>
    <xf numFmtId="168" fontId="4" fillId="11" borderId="14" xfId="0" applyNumberFormat="1" applyFont="1" applyFill="1" applyBorder="1" applyAlignment="1">
      <alignment horizontal="center"/>
    </xf>
    <xf numFmtId="0" fontId="28" fillId="24" borderId="13" xfId="26" applyFont="1" applyFill="1" applyBorder="1"/>
    <xf numFmtId="0" fontId="28" fillId="22" borderId="12" xfId="26" applyFont="1" applyFill="1" applyBorder="1"/>
    <xf numFmtId="9" fontId="35" fillId="11" borderId="14" xfId="0" applyNumberFormat="1" applyFont="1" applyFill="1" applyBorder="1" applyAlignment="1">
      <alignment horizontal="center"/>
    </xf>
    <xf numFmtId="3" fontId="0" fillId="11" borderId="14" xfId="0" applyNumberFormat="1" applyFill="1" applyBorder="1" applyAlignment="1">
      <alignment horizontal="center"/>
    </xf>
    <xf numFmtId="3" fontId="38" fillId="11" borderId="14" xfId="0" applyNumberFormat="1" applyFont="1" applyFill="1" applyBorder="1" applyAlignment="1">
      <alignment horizontal="center"/>
    </xf>
    <xf numFmtId="165" fontId="0" fillId="11" borderId="14" xfId="0" applyNumberFormat="1" applyFill="1" applyBorder="1" applyAlignment="1">
      <alignment horizontal="center"/>
    </xf>
    <xf numFmtId="165" fontId="0" fillId="11" borderId="19" xfId="0" applyNumberFormat="1" applyFill="1" applyBorder="1" applyAlignment="1">
      <alignment horizontal="center"/>
    </xf>
    <xf numFmtId="165" fontId="4" fillId="11" borderId="20" xfId="0" applyNumberFormat="1" applyFont="1" applyFill="1" applyBorder="1" applyAlignment="1">
      <alignment horizontal="center"/>
    </xf>
    <xf numFmtId="0" fontId="31" fillId="26" borderId="0" xfId="0" applyFont="1" applyFill="1"/>
    <xf numFmtId="0" fontId="34" fillId="26" borderId="0" xfId="0" applyFont="1" applyFill="1"/>
    <xf numFmtId="0" fontId="22" fillId="19" borderId="0" xfId="0" quotePrefix="1" applyFont="1" applyFill="1"/>
    <xf numFmtId="0" fontId="34" fillId="25" borderId="0" xfId="0" quotePrefix="1" applyFont="1" applyFill="1"/>
    <xf numFmtId="0" fontId="31" fillId="25" borderId="0" xfId="0" applyFont="1" applyFill="1"/>
    <xf numFmtId="168" fontId="0" fillId="0" borderId="0" xfId="0" applyNumberFormat="1"/>
    <xf numFmtId="0" fontId="0" fillId="0" borderId="14" xfId="0" applyBorder="1" applyAlignment="1">
      <alignment horizontal="center" vertical="center"/>
    </xf>
    <xf numFmtId="172" fontId="0" fillId="0" borderId="14" xfId="0" applyNumberFormat="1" applyBorder="1" applyAlignment="1">
      <alignment horizontal="center" vertical="center"/>
    </xf>
    <xf numFmtId="172" fontId="0" fillId="0" borderId="0" xfId="0" applyNumberFormat="1"/>
    <xf numFmtId="0" fontId="30" fillId="11" borderId="14" xfId="0" applyFont="1" applyFill="1" applyBorder="1" applyAlignment="1">
      <alignment horizontal="center"/>
    </xf>
    <xf numFmtId="168" fontId="4" fillId="0" borderId="16" xfId="0" applyNumberFormat="1" applyFont="1" applyBorder="1" applyAlignment="1">
      <alignment horizontal="center"/>
    </xf>
    <xf numFmtId="0" fontId="4" fillId="11" borderId="16" xfId="0" applyFont="1" applyFill="1" applyBorder="1" applyAlignment="1">
      <alignment horizontal="center"/>
    </xf>
    <xf numFmtId="168" fontId="4" fillId="9" borderId="14" xfId="0" applyNumberFormat="1" applyFont="1" applyFill="1" applyBorder="1" applyAlignment="1">
      <alignment horizontal="center"/>
    </xf>
    <xf numFmtId="0" fontId="4" fillId="15" borderId="21" xfId="0" applyFont="1" applyFill="1" applyBorder="1" applyAlignment="1">
      <alignment horizontal="center"/>
    </xf>
    <xf numFmtId="9" fontId="30" fillId="0" borderId="14" xfId="0" applyNumberFormat="1" applyFont="1" applyBorder="1" applyAlignment="1">
      <alignment horizontal="center"/>
    </xf>
    <xf numFmtId="9" fontId="30" fillId="0" borderId="21" xfId="0" applyNumberFormat="1" applyFont="1" applyBorder="1" applyAlignment="1">
      <alignment horizontal="center"/>
    </xf>
    <xf numFmtId="9" fontId="30" fillId="0" borderId="20" xfId="0" applyNumberFormat="1" applyFont="1" applyBorder="1" applyAlignment="1">
      <alignment horizontal="center"/>
    </xf>
    <xf numFmtId="168" fontId="30" fillId="9" borderId="14" xfId="0" applyNumberFormat="1" applyFont="1" applyFill="1" applyBorder="1" applyAlignment="1">
      <alignment horizontal="center"/>
    </xf>
    <xf numFmtId="0" fontId="4" fillId="15" borderId="21" xfId="0" quotePrefix="1" applyFont="1" applyFill="1" applyBorder="1" applyAlignment="1">
      <alignment horizontal="center"/>
    </xf>
    <xf numFmtId="0" fontId="4" fillId="15" borderId="14" xfId="0" quotePrefix="1" applyFont="1" applyFill="1" applyBorder="1" applyAlignment="1">
      <alignment horizontal="center"/>
    </xf>
    <xf numFmtId="168" fontId="30" fillId="0" borderId="17" xfId="0" applyNumberFormat="1" applyFont="1" applyBorder="1" applyAlignment="1">
      <alignment horizontal="center"/>
    </xf>
    <xf numFmtId="168" fontId="30" fillId="0" borderId="14" xfId="0" applyNumberFormat="1" applyFont="1" applyBorder="1" applyAlignment="1">
      <alignment horizontal="center"/>
    </xf>
    <xf numFmtId="168" fontId="4" fillId="0" borderId="0" xfId="0" applyNumberFormat="1" applyFont="1"/>
    <xf numFmtId="0" fontId="29" fillId="0" borderId="14" xfId="0" applyFont="1" applyBorder="1" applyAlignment="1">
      <alignment horizontal="center" vertical="center"/>
    </xf>
    <xf numFmtId="4" fontId="36" fillId="18" borderId="35" xfId="0" applyNumberFormat="1" applyFont="1" applyFill="1" applyBorder="1" applyAlignment="1">
      <alignment horizontal="center"/>
    </xf>
    <xf numFmtId="4" fontId="36" fillId="18" borderId="15" xfId="0" applyNumberFormat="1" applyFont="1" applyFill="1" applyBorder="1" applyAlignment="1">
      <alignment horizontal="center"/>
    </xf>
    <xf numFmtId="4" fontId="36" fillId="18" borderId="36" xfId="0" applyNumberFormat="1" applyFont="1" applyFill="1" applyBorder="1" applyAlignment="1">
      <alignment horizontal="center"/>
    </xf>
    <xf numFmtId="4" fontId="4" fillId="0" borderId="14" xfId="0" applyNumberFormat="1" applyFont="1" applyBorder="1" applyAlignment="1">
      <alignment horizontal="center"/>
    </xf>
    <xf numFmtId="0" fontId="30" fillId="16" borderId="0" xfId="0" applyFont="1" applyFill="1"/>
    <xf numFmtId="0" fontId="0" fillId="16" borderId="0" xfId="0" applyFill="1"/>
    <xf numFmtId="0" fontId="4" fillId="16" borderId="0" xfId="0" applyFont="1" applyFill="1"/>
    <xf numFmtId="0" fontId="0" fillId="9" borderId="0" xfId="0" applyFont="1" applyFill="1" applyBorder="1"/>
    <xf numFmtId="172" fontId="0" fillId="0" borderId="14" xfId="0" applyNumberFormat="1" applyBorder="1" applyAlignment="1">
      <alignment horizontal="center"/>
    </xf>
    <xf numFmtId="167" fontId="0" fillId="0" borderId="0" xfId="0" applyNumberFormat="1"/>
    <xf numFmtId="2" fontId="0" fillId="0" borderId="14" xfId="0" applyNumberFormat="1" applyBorder="1" applyAlignment="1">
      <alignment horizontal="center"/>
    </xf>
    <xf numFmtId="0" fontId="28" fillId="24" borderId="12" xfId="26" applyFont="1" applyFill="1" applyBorder="1"/>
    <xf numFmtId="0" fontId="39" fillId="0" borderId="0" xfId="0" applyFont="1"/>
    <xf numFmtId="0" fontId="39" fillId="2" borderId="0" xfId="0" applyFont="1" applyFill="1"/>
    <xf numFmtId="0" fontId="39" fillId="0" borderId="0" xfId="0" applyFont="1" applyBorder="1"/>
    <xf numFmtId="0" fontId="46" fillId="15" borderId="0" xfId="0" applyFont="1" applyFill="1" applyBorder="1" applyAlignment="1">
      <alignment horizontal="center"/>
    </xf>
    <xf numFmtId="9" fontId="0" fillId="0" borderId="33" xfId="0" applyNumberFormat="1" applyBorder="1" applyAlignment="1">
      <alignment horizontal="center"/>
    </xf>
    <xf numFmtId="9" fontId="0" fillId="11" borderId="33" xfId="0" applyNumberFormat="1" applyFill="1" applyBorder="1" applyAlignment="1">
      <alignment horizontal="center"/>
    </xf>
    <xf numFmtId="9" fontId="39" fillId="11" borderId="0" xfId="0" applyNumberFormat="1" applyFont="1" applyFill="1" applyBorder="1" applyAlignment="1">
      <alignment horizontal="center"/>
    </xf>
    <xf numFmtId="0" fontId="44" fillId="11" borderId="0" xfId="0" applyFont="1" applyFill="1" applyBorder="1" applyAlignment="1">
      <alignment horizontal="center"/>
    </xf>
    <xf numFmtId="3" fontId="39" fillId="0" borderId="0" xfId="0" applyNumberFormat="1" applyFont="1" applyBorder="1" applyAlignment="1">
      <alignment horizontal="center"/>
    </xf>
    <xf numFmtId="9" fontId="39" fillId="0" borderId="0" xfId="0" applyNumberFormat="1" applyFont="1" applyBorder="1" applyAlignment="1">
      <alignment horizontal="center"/>
    </xf>
    <xf numFmtId="0" fontId="39" fillId="11" borderId="0" xfId="0" applyFont="1" applyFill="1" applyBorder="1"/>
    <xf numFmtId="168" fontId="46" fillId="9" borderId="0" xfId="0" applyNumberFormat="1" applyFont="1" applyFill="1" applyBorder="1" applyAlignment="1">
      <alignment horizontal="center"/>
    </xf>
    <xf numFmtId="168" fontId="39" fillId="9" borderId="0" xfId="0" applyNumberFormat="1" applyFont="1" applyFill="1" applyBorder="1"/>
    <xf numFmtId="9" fontId="39" fillId="9" borderId="0" xfId="0" applyNumberFormat="1" applyFont="1" applyFill="1" applyBorder="1" applyAlignment="1">
      <alignment horizontal="center"/>
    </xf>
    <xf numFmtId="3" fontId="39" fillId="9" borderId="0" xfId="0" applyNumberFormat="1" applyFont="1" applyFill="1" applyBorder="1" applyAlignment="1">
      <alignment horizontal="center"/>
    </xf>
    <xf numFmtId="0" fontId="39" fillId="9" borderId="0" xfId="0" applyFont="1" applyFill="1" applyBorder="1"/>
    <xf numFmtId="171" fontId="46" fillId="9" borderId="0" xfId="0" applyNumberFormat="1" applyFont="1" applyFill="1" applyBorder="1" applyAlignment="1">
      <alignment horizontal="center"/>
    </xf>
    <xf numFmtId="9" fontId="46" fillId="9" borderId="45" xfId="0" applyNumberFormat="1" applyFont="1" applyFill="1" applyBorder="1" applyAlignment="1">
      <alignment horizontal="center"/>
    </xf>
    <xf numFmtId="0" fontId="39" fillId="9" borderId="45" xfId="0" applyFont="1" applyFill="1" applyBorder="1"/>
    <xf numFmtId="9" fontId="46" fillId="9" borderId="46" xfId="0" applyNumberFormat="1" applyFont="1" applyFill="1" applyBorder="1" applyAlignment="1">
      <alignment horizontal="center"/>
    </xf>
    <xf numFmtId="0" fontId="46" fillId="11" borderId="22" xfId="0" applyFont="1" applyFill="1" applyBorder="1" applyAlignment="1">
      <alignment horizontal="center"/>
    </xf>
    <xf numFmtId="0" fontId="44" fillId="11" borderId="22" xfId="0" applyFont="1" applyFill="1" applyBorder="1" applyAlignment="1">
      <alignment horizontal="center"/>
    </xf>
    <xf numFmtId="9" fontId="39" fillId="9" borderId="23" xfId="0" applyNumberFormat="1" applyFont="1" applyFill="1" applyBorder="1" applyAlignment="1">
      <alignment horizontal="center"/>
    </xf>
    <xf numFmtId="0" fontId="46" fillId="11" borderId="24" xfId="0" applyFont="1" applyFill="1" applyBorder="1" applyAlignment="1">
      <alignment horizontal="center"/>
    </xf>
    <xf numFmtId="168" fontId="46" fillId="9" borderId="23" xfId="0" applyNumberFormat="1" applyFont="1" applyFill="1" applyBorder="1" applyAlignment="1">
      <alignment horizontal="center"/>
    </xf>
    <xf numFmtId="168" fontId="46" fillId="9" borderId="42" xfId="0" applyNumberFormat="1" applyFont="1" applyFill="1" applyBorder="1" applyAlignment="1">
      <alignment horizontal="center"/>
    </xf>
    <xf numFmtId="0" fontId="45" fillId="10" borderId="39" xfId="0" applyFont="1" applyFill="1" applyBorder="1" applyAlignment="1">
      <alignment horizontal="center"/>
    </xf>
    <xf numFmtId="0" fontId="46" fillId="10" borderId="40" xfId="0" applyFont="1" applyFill="1" applyBorder="1" applyAlignment="1">
      <alignment horizontal="center"/>
    </xf>
    <xf numFmtId="0" fontId="46" fillId="10" borderId="41" xfId="0" applyFont="1" applyFill="1" applyBorder="1" applyAlignment="1">
      <alignment horizontal="center"/>
    </xf>
    <xf numFmtId="0" fontId="46" fillId="10" borderId="44" xfId="0" applyFont="1" applyFill="1" applyBorder="1" applyAlignment="1">
      <alignment horizontal="center"/>
    </xf>
    <xf numFmtId="173" fontId="46" fillId="9" borderId="0" xfId="0" applyNumberFormat="1" applyFont="1" applyFill="1" applyBorder="1" applyAlignment="1">
      <alignment horizontal="center"/>
    </xf>
    <xf numFmtId="173" fontId="46" fillId="9" borderId="23" xfId="0" applyNumberFormat="1" applyFont="1" applyFill="1" applyBorder="1" applyAlignment="1">
      <alignment horizontal="center"/>
    </xf>
    <xf numFmtId="173" fontId="39" fillId="9" borderId="0" xfId="0" applyNumberFormat="1" applyFont="1" applyFill="1" applyBorder="1" applyAlignment="1">
      <alignment horizontal="center"/>
    </xf>
    <xf numFmtId="173" fontId="39" fillId="9" borderId="23" xfId="0" applyNumberFormat="1" applyFont="1" applyFill="1" applyBorder="1" applyAlignment="1">
      <alignment horizontal="center"/>
    </xf>
    <xf numFmtId="173" fontId="46" fillId="9" borderId="42" xfId="0" applyNumberFormat="1" applyFont="1" applyFill="1" applyBorder="1" applyAlignment="1">
      <alignment horizontal="center"/>
    </xf>
    <xf numFmtId="173" fontId="46" fillId="9" borderId="25" xfId="0" applyNumberFormat="1" applyFont="1" applyFill="1" applyBorder="1" applyAlignment="1">
      <alignment horizontal="center"/>
    </xf>
    <xf numFmtId="0" fontId="40" fillId="27" borderId="0" xfId="0" applyFont="1" applyFill="1"/>
    <xf numFmtId="0" fontId="39" fillId="27" borderId="0" xfId="0" applyFont="1" applyFill="1"/>
    <xf numFmtId="0" fontId="40" fillId="19" borderId="35" xfId="0" quotePrefix="1" applyFont="1" applyFill="1" applyBorder="1" applyAlignment="1">
      <alignment horizontal="center"/>
    </xf>
    <xf numFmtId="0" fontId="46" fillId="18" borderId="36" xfId="0" applyFont="1" applyFill="1" applyBorder="1" applyAlignment="1">
      <alignment horizontal="center"/>
    </xf>
    <xf numFmtId="0" fontId="42" fillId="0" borderId="0" xfId="0" applyFont="1"/>
    <xf numFmtId="0" fontId="40" fillId="20" borderId="35" xfId="0" quotePrefix="1" applyFont="1" applyFill="1" applyBorder="1" applyAlignment="1">
      <alignment horizontal="center"/>
    </xf>
    <xf numFmtId="0" fontId="40" fillId="23" borderId="32" xfId="0" quotePrefix="1" applyFont="1" applyFill="1" applyBorder="1" applyAlignment="1">
      <alignment horizontal="center"/>
    </xf>
    <xf numFmtId="0" fontId="46" fillId="18" borderId="34" xfId="0" applyFont="1" applyFill="1" applyBorder="1" applyAlignment="1">
      <alignment horizontal="center"/>
    </xf>
    <xf numFmtId="0" fontId="46" fillId="25" borderId="30" xfId="0" quotePrefix="1" applyFont="1" applyFill="1" applyBorder="1" applyAlignment="1">
      <alignment horizontal="center"/>
    </xf>
    <xf numFmtId="0" fontId="46" fillId="18" borderId="31" xfId="0" applyFont="1" applyFill="1" applyBorder="1" applyAlignment="1">
      <alignment horizontal="center"/>
    </xf>
    <xf numFmtId="0" fontId="43" fillId="9" borderId="14" xfId="0" applyFont="1" applyFill="1" applyBorder="1" applyAlignment="1">
      <alignment horizontal="center"/>
    </xf>
    <xf numFmtId="0" fontId="45" fillId="15" borderId="14" xfId="0" applyFont="1" applyFill="1" applyBorder="1" applyAlignment="1">
      <alignment horizontal="center"/>
    </xf>
    <xf numFmtId="0" fontId="46" fillId="15" borderId="14" xfId="0" applyFont="1" applyFill="1" applyBorder="1" applyAlignment="1">
      <alignment horizontal="center"/>
    </xf>
    <xf numFmtId="0" fontId="39" fillId="11" borderId="14" xfId="0" applyFont="1" applyFill="1" applyBorder="1" applyAlignment="1">
      <alignment horizontal="center"/>
    </xf>
    <xf numFmtId="9" fontId="48" fillId="9" borderId="14" xfId="0" applyNumberFormat="1" applyFont="1" applyFill="1" applyBorder="1" applyAlignment="1">
      <alignment horizontal="center"/>
    </xf>
    <xf numFmtId="0" fontId="40" fillId="2" borderId="0" xfId="0" applyFont="1" applyFill="1"/>
    <xf numFmtId="0" fontId="40" fillId="13" borderId="14" xfId="0" applyFont="1" applyFill="1" applyBorder="1" applyAlignment="1">
      <alignment horizontal="center"/>
    </xf>
    <xf numFmtId="0" fontId="48" fillId="9" borderId="0" xfId="0" applyFont="1" applyFill="1"/>
    <xf numFmtId="3" fontId="48" fillId="9" borderId="14" xfId="0" applyNumberFormat="1" applyFont="1" applyFill="1" applyBorder="1" applyAlignment="1">
      <alignment horizontal="center"/>
    </xf>
    <xf numFmtId="4" fontId="39" fillId="0" borderId="0" xfId="0" applyNumberFormat="1" applyFont="1"/>
    <xf numFmtId="9" fontId="39" fillId="0" borderId="0" xfId="0" applyNumberFormat="1" applyFont="1"/>
    <xf numFmtId="164" fontId="39" fillId="0" borderId="0" xfId="0" applyNumberFormat="1" applyFont="1"/>
    <xf numFmtId="167" fontId="48" fillId="9" borderId="14" xfId="0" applyNumberFormat="1" applyFont="1" applyFill="1" applyBorder="1" applyAlignment="1">
      <alignment horizontal="center"/>
    </xf>
    <xf numFmtId="10" fontId="39" fillId="0" borderId="0" xfId="0" applyNumberFormat="1" applyFont="1"/>
    <xf numFmtId="0" fontId="44" fillId="0" borderId="0" xfId="0" applyFont="1"/>
    <xf numFmtId="0" fontId="39" fillId="0" borderId="0" xfId="0" applyFont="1" applyAlignment="1">
      <alignment wrapText="1"/>
    </xf>
    <xf numFmtId="0" fontId="44" fillId="11" borderId="14" xfId="0" applyFont="1" applyFill="1" applyBorder="1" applyAlignment="1">
      <alignment horizontal="center" vertical="center" wrapText="1"/>
    </xf>
    <xf numFmtId="0" fontId="44" fillId="0" borderId="0" xfId="0" applyFont="1" applyAlignment="1">
      <alignment wrapText="1"/>
    </xf>
    <xf numFmtId="9" fontId="47" fillId="18" borderId="14" xfId="0" applyNumberFormat="1" applyFont="1" applyFill="1" applyBorder="1" applyAlignment="1">
      <alignment horizontal="center"/>
    </xf>
    <xf numFmtId="0" fontId="49" fillId="15" borderId="14" xfId="0" applyFont="1" applyFill="1" applyBorder="1" applyAlignment="1">
      <alignment horizontal="center"/>
    </xf>
    <xf numFmtId="4" fontId="48" fillId="9" borderId="14" xfId="0" applyNumberFormat="1" applyFont="1" applyFill="1" applyBorder="1" applyAlignment="1">
      <alignment horizontal="center"/>
    </xf>
    <xf numFmtId="0" fontId="39" fillId="11" borderId="19" xfId="0" applyFont="1" applyFill="1" applyBorder="1" applyAlignment="1">
      <alignment horizontal="center"/>
    </xf>
    <xf numFmtId="9" fontId="48" fillId="9" borderId="19" xfId="0" applyNumberFormat="1" applyFont="1" applyFill="1" applyBorder="1" applyAlignment="1">
      <alignment horizontal="center"/>
    </xf>
    <xf numFmtId="0" fontId="46" fillId="11" borderId="20" xfId="0" applyFont="1" applyFill="1" applyBorder="1" applyAlignment="1">
      <alignment horizontal="center"/>
    </xf>
    <xf numFmtId="9" fontId="43" fillId="9" borderId="20" xfId="0" applyNumberFormat="1" applyFont="1" applyFill="1" applyBorder="1" applyAlignment="1">
      <alignment horizontal="center"/>
    </xf>
    <xf numFmtId="165" fontId="47" fillId="18" borderId="14" xfId="0" applyNumberFormat="1" applyFont="1" applyFill="1" applyBorder="1" applyAlignment="1">
      <alignment horizontal="center"/>
    </xf>
    <xf numFmtId="165" fontId="48" fillId="9" borderId="14" xfId="0" applyNumberFormat="1" applyFont="1" applyFill="1" applyBorder="1" applyAlignment="1">
      <alignment horizontal="center"/>
    </xf>
    <xf numFmtId="0" fontId="42" fillId="11" borderId="14" xfId="0" applyFont="1" applyFill="1" applyBorder="1" applyAlignment="1">
      <alignment horizontal="center" vertical="center" wrapText="1"/>
    </xf>
    <xf numFmtId="9" fontId="42" fillId="0" borderId="14" xfId="0" applyNumberFormat="1" applyFont="1" applyBorder="1" applyAlignment="1">
      <alignment horizontal="center"/>
    </xf>
    <xf numFmtId="165" fontId="48" fillId="0" borderId="14" xfId="0" applyNumberFormat="1" applyFont="1" applyBorder="1" applyAlignment="1">
      <alignment horizontal="center"/>
    </xf>
    <xf numFmtId="9" fontId="47" fillId="0" borderId="14" xfId="0" applyNumberFormat="1" applyFont="1" applyBorder="1" applyAlignment="1">
      <alignment horizontal="center"/>
    </xf>
    <xf numFmtId="9" fontId="47" fillId="9" borderId="14" xfId="0" applyNumberFormat="1" applyFont="1" applyFill="1" applyBorder="1" applyAlignment="1">
      <alignment horizontal="center"/>
    </xf>
    <xf numFmtId="9" fontId="47" fillId="18" borderId="16" xfId="0" applyNumberFormat="1" applyFont="1" applyFill="1" applyBorder="1" applyAlignment="1">
      <alignment horizontal="center"/>
    </xf>
    <xf numFmtId="164" fontId="50" fillId="18" borderId="26" xfId="0" applyNumberFormat="1" applyFont="1" applyFill="1" applyBorder="1" applyAlignment="1">
      <alignment horizontal="center"/>
    </xf>
    <xf numFmtId="164" fontId="50" fillId="18" borderId="27" xfId="0" applyNumberFormat="1" applyFont="1" applyFill="1" applyBorder="1" applyAlignment="1">
      <alignment horizontal="center"/>
    </xf>
    <xf numFmtId="164" fontId="50" fillId="18" borderId="28" xfId="0" applyNumberFormat="1" applyFont="1" applyFill="1" applyBorder="1" applyAlignment="1">
      <alignment horizontal="center"/>
    </xf>
    <xf numFmtId="0" fontId="41" fillId="2" borderId="0" xfId="0" applyFont="1" applyFill="1"/>
    <xf numFmtId="165" fontId="39" fillId="0" borderId="0" xfId="0" applyNumberFormat="1" applyFont="1"/>
    <xf numFmtId="9" fontId="39" fillId="9" borderId="14" xfId="0" applyNumberFormat="1" applyFont="1" applyFill="1" applyBorder="1" applyAlignment="1">
      <alignment horizontal="center"/>
    </xf>
    <xf numFmtId="0" fontId="46" fillId="11" borderId="14" xfId="0" applyFont="1" applyFill="1" applyBorder="1" applyAlignment="1">
      <alignment horizontal="center"/>
    </xf>
    <xf numFmtId="4" fontId="50" fillId="0" borderId="14" xfId="0" applyNumberFormat="1" applyFont="1" applyBorder="1" applyAlignment="1">
      <alignment horizontal="center"/>
    </xf>
    <xf numFmtId="4" fontId="39" fillId="0" borderId="14" xfId="0" applyNumberFormat="1" applyFont="1" applyBorder="1" applyAlignment="1">
      <alignment horizontal="center"/>
    </xf>
    <xf numFmtId="9" fontId="51" fillId="18" borderId="14" xfId="0" applyNumberFormat="1" applyFont="1" applyFill="1" applyBorder="1" applyAlignment="1">
      <alignment horizontal="center" vertical="center"/>
    </xf>
    <xf numFmtId="0" fontId="44" fillId="0" borderId="0" xfId="0" quotePrefix="1" applyFont="1"/>
    <xf numFmtId="170" fontId="39" fillId="0" borderId="0" xfId="0" applyNumberFormat="1" applyFont="1"/>
    <xf numFmtId="0" fontId="39" fillId="0" borderId="0" xfId="0" applyFont="1" applyAlignment="1">
      <alignment vertical="center"/>
    </xf>
    <xf numFmtId="0" fontId="39" fillId="9" borderId="0" xfId="0" applyFont="1" applyFill="1" applyAlignment="1">
      <alignment vertical="center"/>
    </xf>
    <xf numFmtId="0" fontId="40" fillId="19" borderId="37" xfId="0" applyFont="1" applyFill="1" applyBorder="1" applyAlignment="1">
      <alignment horizontal="centerContinuous" vertical="center"/>
    </xf>
    <xf numFmtId="0" fontId="40" fillId="19" borderId="43" xfId="0" applyFont="1" applyFill="1" applyBorder="1" applyAlignment="1">
      <alignment horizontal="centerContinuous" vertical="center"/>
    </xf>
    <xf numFmtId="0" fontId="41" fillId="19" borderId="43" xfId="0" applyFont="1" applyFill="1" applyBorder="1" applyAlignment="1">
      <alignment horizontal="centerContinuous" vertical="center"/>
    </xf>
    <xf numFmtId="0" fontId="41" fillId="19" borderId="38" xfId="0" applyFont="1" applyFill="1" applyBorder="1" applyAlignment="1">
      <alignment horizontal="centerContinuous" vertical="center"/>
    </xf>
    <xf numFmtId="0" fontId="39" fillId="0" borderId="22" xfId="0" applyFont="1" applyBorder="1" applyAlignment="1">
      <alignment vertical="center"/>
    </xf>
    <xf numFmtId="0" fontId="39" fillId="0" borderId="0" xfId="0" applyFont="1" applyBorder="1" applyAlignment="1">
      <alignment vertical="center"/>
    </xf>
    <xf numFmtId="0" fontId="39" fillId="0" borderId="23" xfId="0" applyFont="1" applyBorder="1" applyAlignment="1">
      <alignment vertical="center"/>
    </xf>
    <xf numFmtId="0" fontId="39" fillId="28" borderId="22" xfId="0" applyFont="1" applyFill="1" applyBorder="1" applyAlignment="1">
      <alignment vertical="center"/>
    </xf>
    <xf numFmtId="0" fontId="42" fillId="28" borderId="0" xfId="0" applyFont="1" applyFill="1" applyBorder="1" applyAlignment="1">
      <alignment vertical="center"/>
    </xf>
    <xf numFmtId="0" fontId="39" fillId="28" borderId="0" xfId="0" applyFont="1" applyFill="1" applyBorder="1" applyAlignment="1">
      <alignment vertical="center"/>
    </xf>
    <xf numFmtId="0" fontId="39" fillId="28" borderId="23" xfId="0" applyFont="1" applyFill="1" applyBorder="1" applyAlignment="1">
      <alignment vertical="center"/>
    </xf>
    <xf numFmtId="0" fontId="43" fillId="10" borderId="39" xfId="0" applyFont="1" applyFill="1" applyBorder="1" applyAlignment="1">
      <alignment horizontal="centerContinuous" vertical="center"/>
    </xf>
    <xf numFmtId="0" fontId="44" fillId="10" borderId="40" xfId="0" applyFont="1" applyFill="1" applyBorder="1" applyAlignment="1">
      <alignment horizontal="centerContinuous" vertical="center"/>
    </xf>
    <xf numFmtId="0" fontId="39" fillId="10" borderId="40" xfId="0" applyFont="1" applyFill="1" applyBorder="1" applyAlignment="1">
      <alignment horizontal="centerContinuous" vertical="center"/>
    </xf>
    <xf numFmtId="0" fontId="39" fillId="10" borderId="41" xfId="0" applyFont="1" applyFill="1" applyBorder="1" applyAlignment="1">
      <alignment horizontal="centerContinuous" vertical="center"/>
    </xf>
    <xf numFmtId="0" fontId="39" fillId="11" borderId="24" xfId="0" applyFont="1" applyFill="1" applyBorder="1" applyAlignment="1">
      <alignment horizontal="center" vertical="center"/>
    </xf>
    <xf numFmtId="0" fontId="39" fillId="0" borderId="24" xfId="0" applyFont="1" applyBorder="1" applyAlignment="1">
      <alignment vertical="center"/>
    </xf>
    <xf numFmtId="0" fontId="39" fillId="0" borderId="42" xfId="0" applyFont="1" applyBorder="1" applyAlignment="1">
      <alignment vertical="center"/>
    </xf>
    <xf numFmtId="0" fontId="39" fillId="0" borderId="25" xfId="0" applyFont="1" applyBorder="1" applyAlignment="1">
      <alignment vertical="center"/>
    </xf>
    <xf numFmtId="0" fontId="43" fillId="18" borderId="35" xfId="0" quotePrefix="1" applyFont="1" applyFill="1" applyBorder="1" applyAlignment="1">
      <alignment horizontal="center" vertical="center"/>
    </xf>
    <xf numFmtId="0" fontId="39" fillId="0" borderId="47" xfId="0" applyFont="1" applyBorder="1" applyAlignment="1">
      <alignment vertical="center" wrapText="1"/>
    </xf>
    <xf numFmtId="0" fontId="46" fillId="5" borderId="48" xfId="0" applyFont="1" applyFill="1" applyBorder="1" applyAlignment="1">
      <alignment horizontal="center" vertical="center" wrapText="1"/>
    </xf>
    <xf numFmtId="0" fontId="46" fillId="5" borderId="49" xfId="0" applyFont="1" applyFill="1" applyBorder="1" applyAlignment="1">
      <alignment horizontal="center" vertical="center"/>
    </xf>
    <xf numFmtId="0" fontId="46" fillId="5" borderId="50" xfId="0" applyFont="1" applyFill="1" applyBorder="1" applyAlignment="1">
      <alignment horizontal="center" vertical="center"/>
    </xf>
    <xf numFmtId="0" fontId="39" fillId="0" borderId="42" xfId="0" applyFont="1" applyBorder="1" applyAlignment="1">
      <alignment vertical="center" wrapText="1"/>
    </xf>
    <xf numFmtId="0" fontId="46" fillId="0" borderId="51" xfId="0" applyFont="1" applyBorder="1" applyAlignment="1">
      <alignment horizontal="center" vertical="center" wrapText="1"/>
    </xf>
    <xf numFmtId="0" fontId="46" fillId="0" borderId="24" xfId="0" applyFont="1" applyBorder="1" applyAlignment="1">
      <alignment horizontal="center" vertical="center" wrapText="1"/>
    </xf>
    <xf numFmtId="0" fontId="39" fillId="11" borderId="53" xfId="0" applyFont="1" applyFill="1" applyBorder="1" applyAlignment="1">
      <alignment horizontal="center" vertical="center" wrapText="1"/>
    </xf>
    <xf numFmtId="0" fontId="39" fillId="11" borderId="46" xfId="0" applyFont="1" applyFill="1" applyBorder="1" applyAlignment="1">
      <alignment horizontal="center" vertical="center" wrapText="1"/>
    </xf>
    <xf numFmtId="0" fontId="39" fillId="11" borderId="27" xfId="0" applyFont="1" applyFill="1" applyBorder="1" applyAlignment="1">
      <alignment horizontal="center" vertical="center" wrapText="1"/>
    </xf>
    <xf numFmtId="0" fontId="45" fillId="15" borderId="39" xfId="0" applyFont="1" applyFill="1" applyBorder="1" applyAlignment="1">
      <alignment horizontal="center" vertical="center"/>
    </xf>
    <xf numFmtId="0" fontId="46" fillId="10" borderId="26" xfId="0" applyFont="1" applyFill="1" applyBorder="1" applyAlignment="1">
      <alignment horizontal="center" vertical="center" wrapText="1"/>
    </xf>
    <xf numFmtId="0" fontId="46" fillId="10" borderId="50" xfId="0" applyFont="1" applyFill="1" applyBorder="1" applyAlignment="1">
      <alignment horizontal="center" vertical="center" wrapText="1"/>
    </xf>
    <xf numFmtId="0" fontId="43" fillId="10" borderId="37" xfId="0" applyFont="1" applyFill="1" applyBorder="1" applyAlignment="1">
      <alignment horizontal="centerContinuous" vertical="center"/>
    </xf>
    <xf numFmtId="0" fontId="44" fillId="10" borderId="43" xfId="0" applyFont="1" applyFill="1" applyBorder="1" applyAlignment="1">
      <alignment horizontal="centerContinuous" vertical="center"/>
    </xf>
    <xf numFmtId="0" fontId="39" fillId="10" borderId="43" xfId="0" applyFont="1" applyFill="1" applyBorder="1" applyAlignment="1">
      <alignment horizontal="centerContinuous" vertical="center"/>
    </xf>
    <xf numFmtId="0" fontId="39" fillId="10" borderId="38" xfId="0" applyFont="1" applyFill="1" applyBorder="1" applyAlignment="1">
      <alignment horizontal="centerContinuous" vertical="center"/>
    </xf>
    <xf numFmtId="0" fontId="45" fillId="15" borderId="48" xfId="0" applyFont="1" applyFill="1" applyBorder="1" applyAlignment="1">
      <alignment horizontal="center" vertical="center"/>
    </xf>
    <xf numFmtId="0" fontId="46" fillId="15" borderId="26" xfId="0" applyFont="1" applyFill="1" applyBorder="1" applyAlignment="1">
      <alignment horizontal="center" vertical="center"/>
    </xf>
    <xf numFmtId="0" fontId="46" fillId="15" borderId="50" xfId="0" applyFont="1" applyFill="1" applyBorder="1" applyAlignment="1">
      <alignment horizontal="center" vertical="center"/>
    </xf>
    <xf numFmtId="0" fontId="39" fillId="11" borderId="29" xfId="0" applyFont="1" applyFill="1" applyBorder="1" applyAlignment="1">
      <alignment horizontal="center" vertical="center"/>
    </xf>
    <xf numFmtId="168" fontId="46" fillId="18" borderId="15" xfId="0" applyNumberFormat="1" applyFont="1" applyFill="1" applyBorder="1" applyAlignment="1">
      <alignment horizontal="center"/>
    </xf>
    <xf numFmtId="9" fontId="46" fillId="18" borderId="15" xfId="0" applyNumberFormat="1" applyFont="1" applyFill="1" applyBorder="1" applyAlignment="1">
      <alignment horizontal="center"/>
    </xf>
    <xf numFmtId="9" fontId="50" fillId="0" borderId="14" xfId="0" applyNumberFormat="1" applyFont="1" applyBorder="1" applyAlignment="1">
      <alignment horizontal="center"/>
    </xf>
    <xf numFmtId="167" fontId="39" fillId="0" borderId="14" xfId="0" applyNumberFormat="1" applyFont="1" applyBorder="1" applyAlignment="1">
      <alignment horizontal="center"/>
    </xf>
    <xf numFmtId="168" fontId="39" fillId="9" borderId="23" xfId="0" applyNumberFormat="1" applyFont="1" applyFill="1" applyBorder="1" applyAlignment="1">
      <alignment horizontal="center"/>
    </xf>
    <xf numFmtId="9" fontId="52" fillId="9" borderId="27" xfId="0" applyNumberFormat="1" applyFont="1" applyFill="1" applyBorder="1" applyAlignment="1">
      <alignment horizontal="center" vertical="center"/>
    </xf>
    <xf numFmtId="9" fontId="52" fillId="9" borderId="54" xfId="0" applyNumberFormat="1" applyFont="1" applyFill="1" applyBorder="1" applyAlignment="1">
      <alignment horizontal="center" vertical="center"/>
    </xf>
    <xf numFmtId="9" fontId="52" fillId="9" borderId="46" xfId="0" applyNumberFormat="1" applyFont="1" applyFill="1" applyBorder="1" applyAlignment="1">
      <alignment horizontal="center" vertical="center"/>
    </xf>
    <xf numFmtId="9" fontId="52" fillId="9" borderId="25" xfId="0" applyNumberFormat="1" applyFont="1" applyFill="1" applyBorder="1" applyAlignment="1">
      <alignment horizontal="center" vertical="center"/>
    </xf>
    <xf numFmtId="9" fontId="52" fillId="9" borderId="53" xfId="0" applyNumberFormat="1" applyFont="1" applyFill="1" applyBorder="1" applyAlignment="1">
      <alignment horizontal="center" vertical="center"/>
    </xf>
    <xf numFmtId="0" fontId="39" fillId="25" borderId="14" xfId="0" applyFont="1" applyFill="1" applyBorder="1" applyAlignment="1">
      <alignment horizontal="center"/>
    </xf>
    <xf numFmtId="9" fontId="52" fillId="29" borderId="52" xfId="0" applyNumberFormat="1" applyFont="1" applyFill="1" applyBorder="1" applyAlignment="1">
      <alignment horizontal="center" vertical="center"/>
    </xf>
    <xf numFmtId="9" fontId="52" fillId="29" borderId="25" xfId="0" applyNumberFormat="1" applyFont="1" applyFill="1" applyBorder="1" applyAlignment="1">
      <alignment horizontal="center" vertical="center"/>
    </xf>
    <xf numFmtId="0" fontId="53" fillId="29" borderId="36" xfId="0" applyFont="1" applyFill="1" applyBorder="1" applyAlignment="1">
      <alignment horizontal="center" vertical="center"/>
    </xf>
    <xf numFmtId="9" fontId="52" fillId="29" borderId="27" xfId="0" applyNumberFormat="1" applyFont="1" applyFill="1" applyBorder="1" applyAlignment="1">
      <alignment horizontal="center" vertical="center"/>
    </xf>
    <xf numFmtId="9" fontId="52" fillId="29" borderId="54" xfId="0" applyNumberFormat="1" applyFont="1" applyFill="1" applyBorder="1" applyAlignment="1">
      <alignment horizontal="center" vertical="center"/>
    </xf>
    <xf numFmtId="9" fontId="52" fillId="29" borderId="46" xfId="0" applyNumberFormat="1" applyFont="1" applyFill="1" applyBorder="1" applyAlignment="1">
      <alignment horizontal="center" vertical="center"/>
    </xf>
    <xf numFmtId="0" fontId="16" fillId="0" borderId="0" xfId="0" applyFont="1" applyBorder="1" applyAlignment="1">
      <alignment horizontal="center" vertical="center" wrapText="1"/>
    </xf>
    <xf numFmtId="0" fontId="4" fillId="0" borderId="0" xfId="18" applyBorder="1" applyAlignment="1"/>
    <xf numFmtId="0" fontId="0" fillId="0" borderId="0" xfId="0" applyBorder="1" applyAlignment="1"/>
    <xf numFmtId="0" fontId="42" fillId="28" borderId="0" xfId="0" applyFont="1" applyFill="1" applyBorder="1" applyAlignment="1">
      <alignment vertical="center" wrapText="1"/>
    </xf>
    <xf numFmtId="0" fontId="42" fillId="28" borderId="0" xfId="0" applyFont="1" applyFill="1" applyBorder="1" applyAlignment="1">
      <alignment horizontal="left" vertical="center" wrapText="1"/>
    </xf>
    <xf numFmtId="0" fontId="42" fillId="28" borderId="37" xfId="0" applyFont="1" applyFill="1" applyBorder="1" applyAlignment="1">
      <alignment horizontal="left" vertical="center" wrapText="1"/>
    </xf>
    <xf numFmtId="0" fontId="42" fillId="28" borderId="43" xfId="0" applyFont="1" applyFill="1" applyBorder="1" applyAlignment="1">
      <alignment horizontal="left" vertical="center" wrapText="1"/>
    </xf>
    <xf numFmtId="0" fontId="42" fillId="28" borderId="38" xfId="0" applyFont="1" applyFill="1" applyBorder="1" applyAlignment="1">
      <alignment horizontal="left" vertical="center" wrapText="1"/>
    </xf>
  </cellXfs>
  <cellStyles count="30">
    <cellStyle name="Bad" xfId="8" builtinId="27" customBuiltin="1"/>
    <cellStyle name="Calculation" xfId="12" hidden="1"/>
    <cellStyle name="Check Cell" xfId="14" builtinId="23" hidden="1" customBuiltin="1"/>
    <cellStyle name="Check Cell" xfId="25"/>
    <cellStyle name="Comma" xfId="27" builtinId="3" customBuiltin="1"/>
    <cellStyle name="Comment" xfId="23"/>
    <cellStyle name="Explanatory Text" xfId="17" builtinId="53" hidden="1" customBuiltin="1"/>
    <cellStyle name="Followed Hyperlink" xfId="28" builtinId="9" hidden="1"/>
    <cellStyle name="Followed Hyperlink" xfId="29" builtinId="9" hidde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hidden="1" customBuiltin="1"/>
    <cellStyle name="Hyperlink" xfId="26" builtinId="8" customBuiltin="1"/>
    <cellStyle name="Input" xfId="10" builtinId="20" hidden="1" customBuiltin="1"/>
    <cellStyle name="Input: Assumption" xfId="19"/>
    <cellStyle name="Input: Fact" xfId="20"/>
    <cellStyle name="Link: other file" xfId="22"/>
    <cellStyle name="Link: other sheet" xfId="21"/>
    <cellStyle name="Linked Cell" xfId="13" builtinId="24" hidden="1" customBuiltin="1"/>
    <cellStyle name="Neutral" xfId="9" builtinId="28" customBuiltin="1"/>
    <cellStyle name="Normal" xfId="0" builtinId="0" customBuiltin="1"/>
    <cellStyle name="Note" xfId="16" builtinId="10" hidden="1" customBuiltin="1"/>
    <cellStyle name="Output" xfId="11" builtinId="21" hidden="1" customBuiltin="1"/>
    <cellStyle name="Title" xfId="2" builtinId="15" customBuiltin="1"/>
    <cellStyle name="Total" xfId="18" builtinId="25" customBuiltin="1"/>
    <cellStyle name="Warning" xfId="24"/>
    <cellStyle name="Warning Text" xfId="15" builtinId="11" hidden="1" customBuiltin="1"/>
  </cellStyles>
  <dxfs count="47">
    <dxf>
      <font>
        <b/>
        <i val="0"/>
        <color rgb="FF007932"/>
      </font>
      <fill>
        <patternFill>
          <bgColor theme="9" tint="0.59996337778862885"/>
        </patternFill>
      </fill>
    </dxf>
    <dxf>
      <font>
        <b/>
        <i val="0"/>
        <color theme="8"/>
      </font>
      <fill>
        <patternFill>
          <bgColor theme="8" tint="0.79998168889431442"/>
        </patternFill>
      </fill>
    </dxf>
    <dxf>
      <font>
        <b/>
        <i val="0"/>
        <color theme="2"/>
      </font>
      <fill>
        <patternFill>
          <bgColor theme="1"/>
        </patternFill>
      </fill>
    </dxf>
    <dxf>
      <fill>
        <patternFill>
          <bgColor theme="0"/>
        </patternFill>
      </fill>
    </dxf>
    <dxf>
      <font>
        <color rgb="FF9C0006"/>
      </font>
      <fill>
        <patternFill>
          <bgColor rgb="FFFFC7CE"/>
        </patternFill>
      </fill>
    </dxf>
    <dxf>
      <fill>
        <patternFill>
          <bgColor rgb="FF6A4A88"/>
        </patternFill>
      </fill>
    </dxf>
    <dxf>
      <fill>
        <patternFill patternType="solid">
          <fgColor auto="1"/>
          <bgColor rgb="FF6A4A88"/>
        </patternFill>
      </fill>
    </dxf>
    <dxf>
      <fill>
        <patternFill patternType="solid">
          <fgColor auto="1"/>
          <bgColor rgb="FF6A4A88"/>
        </patternFill>
      </fill>
    </dxf>
    <dxf>
      <font>
        <b/>
        <i val="0"/>
      </font>
      <fill>
        <patternFill patternType="solid">
          <fgColor auto="1"/>
          <bgColor rgb="FF6A4A88"/>
        </patternFill>
      </fill>
    </dxf>
    <dxf>
      <font>
        <b/>
        <i val="0"/>
        <color theme="2"/>
      </font>
      <fill>
        <patternFill patternType="solid">
          <fgColor theme="7"/>
          <bgColor theme="5"/>
        </patternFill>
      </fill>
      <border>
        <bottom style="thick">
          <color theme="2"/>
        </bottom>
      </border>
    </dxf>
    <dxf>
      <font>
        <b val="0"/>
        <i val="0"/>
        <color theme="2"/>
      </font>
      <fill>
        <patternFill patternType="solid">
          <fgColor auto="1"/>
          <bgColor rgb="FF8761A9"/>
        </patternFill>
      </fill>
      <border diagonalUp="0" diagonalDown="0">
        <left/>
        <right/>
        <top/>
        <bottom/>
        <vertical style="thin">
          <color theme="2"/>
        </vertical>
        <horizontal style="thin">
          <color theme="2"/>
        </horizontal>
      </border>
    </dxf>
    <dxf>
      <fill>
        <patternFill patternType="solid">
          <fgColor auto="1"/>
          <bgColor rgb="FFDC9494"/>
        </patternFill>
      </fill>
    </dxf>
    <dxf>
      <fill>
        <patternFill patternType="solid">
          <fgColor auto="1"/>
          <bgColor rgb="FFDC9494"/>
        </patternFill>
      </fill>
    </dxf>
    <dxf>
      <fill>
        <patternFill patternType="solid">
          <fgColor auto="1"/>
          <bgColor rgb="FFDC9494"/>
        </patternFill>
      </fill>
    </dxf>
    <dxf>
      <font>
        <b/>
        <i val="0"/>
      </font>
      <fill>
        <patternFill patternType="solid">
          <fgColor auto="1"/>
          <bgColor rgb="FFDC9494"/>
        </patternFill>
      </fill>
    </dxf>
    <dxf>
      <font>
        <b/>
        <i val="0"/>
        <color theme="2"/>
      </font>
      <fill>
        <patternFill patternType="solid">
          <fgColor theme="7"/>
          <bgColor theme="5"/>
        </patternFill>
      </fill>
      <border>
        <bottom style="thick">
          <color theme="2"/>
        </bottom>
      </border>
    </dxf>
    <dxf>
      <font>
        <b val="0"/>
        <i val="0"/>
        <color theme="2"/>
      </font>
      <fill>
        <patternFill patternType="solid">
          <fgColor auto="1"/>
          <bgColor rgb="FFCC6666"/>
        </patternFill>
      </fill>
      <border diagonalUp="0" diagonalDown="0">
        <left/>
        <right/>
        <top/>
        <bottom/>
        <vertical style="thin">
          <color theme="2"/>
        </vertical>
        <horizontal style="thin">
          <color theme="2"/>
        </horizontal>
      </border>
    </dxf>
    <dxf>
      <fill>
        <patternFill patternType="solid">
          <fgColor auto="1"/>
          <bgColor rgb="FFE2BB82"/>
        </patternFill>
      </fill>
    </dxf>
    <dxf>
      <fill>
        <patternFill patternType="solid">
          <fgColor auto="1"/>
          <bgColor rgb="FFD7A154"/>
        </patternFill>
      </fill>
    </dxf>
    <dxf>
      <fill>
        <patternFill patternType="solid">
          <fgColor auto="1"/>
          <bgColor rgb="FFD7A154"/>
        </patternFill>
      </fill>
    </dxf>
    <dxf>
      <font>
        <b/>
        <i val="0"/>
      </font>
      <fill>
        <patternFill patternType="solid">
          <fgColor auto="1"/>
          <bgColor rgb="FFD7A154"/>
        </patternFill>
      </fill>
    </dxf>
    <dxf>
      <font>
        <b/>
        <i val="0"/>
        <color theme="2"/>
      </font>
      <fill>
        <patternFill patternType="solid">
          <fgColor theme="7"/>
          <bgColor theme="5"/>
        </patternFill>
      </fill>
      <border>
        <bottom style="thick">
          <color theme="2"/>
        </bottom>
      </border>
    </dxf>
    <dxf>
      <font>
        <b val="0"/>
        <i val="0"/>
        <color theme="1"/>
      </font>
      <fill>
        <patternFill patternType="solid">
          <fgColor auto="1"/>
          <bgColor rgb="FFD7A154"/>
        </patternFill>
      </fill>
      <border diagonalUp="0" diagonalDown="0">
        <left/>
        <right/>
        <top/>
        <bottom/>
        <vertical style="thin">
          <color theme="2"/>
        </vertical>
        <horizontal style="thin">
          <color theme="2"/>
        </horizontal>
      </border>
    </dxf>
    <dxf>
      <fill>
        <patternFill patternType="solid">
          <fgColor auto="1"/>
          <bgColor theme="4"/>
        </patternFill>
      </fill>
    </dxf>
    <dxf>
      <fill>
        <patternFill patternType="solid">
          <fgColor auto="1"/>
          <bgColor theme="4"/>
        </patternFill>
      </fill>
    </dxf>
    <dxf>
      <fill>
        <patternFill patternType="solid">
          <fgColor auto="1"/>
          <bgColor theme="4"/>
        </patternFill>
      </fill>
    </dxf>
    <dxf>
      <font>
        <b/>
        <i val="0"/>
      </font>
      <fill>
        <patternFill patternType="solid">
          <fgColor auto="1"/>
          <bgColor theme="4"/>
        </patternFill>
      </fill>
    </dxf>
    <dxf>
      <font>
        <b/>
        <i val="0"/>
        <color theme="2"/>
      </font>
      <fill>
        <patternFill patternType="solid">
          <fgColor theme="7"/>
          <bgColor theme="5"/>
        </patternFill>
      </fill>
      <border>
        <bottom style="thick">
          <color theme="2"/>
        </bottom>
      </border>
    </dxf>
    <dxf>
      <font>
        <b val="0"/>
        <i val="0"/>
        <color theme="1"/>
      </font>
      <fill>
        <patternFill patternType="solid">
          <fgColor auto="1"/>
          <bgColor theme="4" tint="0.39994506668294322"/>
        </patternFill>
      </fill>
      <border diagonalUp="0" diagonalDown="0">
        <left/>
        <right/>
        <top/>
        <bottom/>
        <vertical style="thin">
          <color theme="2"/>
        </vertical>
        <horizontal style="thin">
          <color theme="2"/>
        </horizontal>
      </border>
    </dxf>
    <dxf>
      <fill>
        <patternFill patternType="solid">
          <fgColor auto="1"/>
          <bgColor theme="9" tint="0.39994506668294322"/>
        </patternFill>
      </fill>
    </dxf>
    <dxf>
      <fill>
        <patternFill patternType="solid">
          <fgColor auto="1"/>
          <bgColor theme="9" tint="0.39994506668294322"/>
        </patternFill>
      </fill>
    </dxf>
    <dxf>
      <fill>
        <patternFill patternType="solid">
          <fgColor auto="1"/>
          <bgColor theme="9" tint="0.39994506668294322"/>
        </patternFill>
      </fill>
    </dxf>
    <dxf>
      <font>
        <b/>
        <i val="0"/>
      </font>
      <fill>
        <patternFill patternType="solid">
          <fgColor auto="1"/>
          <bgColor theme="9" tint="0.39994506668294322"/>
        </patternFill>
      </fill>
    </dxf>
    <dxf>
      <font>
        <b/>
        <i val="0"/>
        <color theme="2"/>
      </font>
      <fill>
        <patternFill patternType="solid">
          <fgColor theme="7"/>
          <bgColor theme="5"/>
        </patternFill>
      </fill>
      <border>
        <bottom style="thick">
          <color theme="2"/>
        </bottom>
      </border>
    </dxf>
    <dxf>
      <font>
        <b val="0"/>
        <i val="0"/>
        <color rgb="FF007932"/>
      </font>
      <fill>
        <patternFill patternType="solid">
          <fgColor auto="1"/>
          <bgColor theme="9" tint="0.59996337778862885"/>
        </patternFill>
      </fill>
      <border diagonalUp="0" diagonalDown="0">
        <left/>
        <right/>
        <top/>
        <bottom/>
        <vertical style="thin">
          <color theme="2"/>
        </vertical>
        <horizontal style="thin">
          <color theme="2"/>
        </horizontal>
      </border>
    </dxf>
    <dxf>
      <fill>
        <patternFill patternType="solid">
          <fgColor theme="7" tint="0.59999389629810485"/>
          <bgColor rgb="FF8FDAFF"/>
        </patternFill>
      </fill>
    </dxf>
    <dxf>
      <fill>
        <patternFill patternType="solid">
          <fgColor auto="1"/>
          <bgColor theme="7" tint="0.59996337778862885"/>
        </patternFill>
      </fill>
    </dxf>
    <dxf>
      <fill>
        <patternFill patternType="solid">
          <fgColor auto="1"/>
          <bgColor theme="7" tint="0.59996337778862885"/>
        </patternFill>
      </fill>
    </dxf>
    <dxf>
      <font>
        <b/>
        <i val="0"/>
      </font>
      <fill>
        <patternFill patternType="solid">
          <fgColor auto="1"/>
          <bgColor theme="7" tint="0.59996337778862885"/>
        </patternFill>
      </fill>
    </dxf>
    <dxf>
      <font>
        <b/>
        <i val="0"/>
        <color theme="2"/>
      </font>
      <fill>
        <patternFill patternType="solid">
          <fgColor theme="7"/>
          <bgColor theme="5"/>
        </patternFill>
      </fill>
      <border>
        <bottom style="thick">
          <color theme="2"/>
        </bottom>
      </border>
    </dxf>
    <dxf>
      <font>
        <b val="0"/>
        <i val="0"/>
        <color theme="8"/>
      </font>
      <fill>
        <patternFill patternType="solid">
          <fgColor theme="7" tint="0.79998168889431442"/>
          <bgColor theme="7" tint="0.79998168889431442"/>
        </patternFill>
      </fill>
      <border diagonalUp="0" diagonalDown="0">
        <left/>
        <right/>
        <top/>
        <bottom/>
        <vertical style="thin">
          <color theme="2"/>
        </vertical>
        <horizontal style="thin">
          <color theme="2"/>
        </horizontal>
      </border>
    </dxf>
    <dxf>
      <fill>
        <patternFill patternType="solid">
          <fgColor auto="1"/>
          <bgColor theme="4" tint="0.59996337778862885"/>
        </patternFill>
      </fill>
    </dxf>
    <dxf>
      <fill>
        <patternFill patternType="solid">
          <fgColor auto="1"/>
          <bgColor theme="4" tint="0.59996337778862885"/>
        </patternFill>
      </fill>
    </dxf>
    <dxf>
      <fill>
        <patternFill patternType="solid">
          <fgColor auto="1"/>
          <bgColor theme="4" tint="0.59996337778862885"/>
        </patternFill>
      </fill>
    </dxf>
    <dxf>
      <font>
        <b/>
        <i val="0"/>
      </font>
      <fill>
        <patternFill patternType="solid">
          <fgColor auto="1"/>
          <bgColor theme="4" tint="0.39994506668294322"/>
        </patternFill>
      </fill>
    </dxf>
    <dxf>
      <font>
        <b/>
        <i val="0"/>
        <color theme="2"/>
      </font>
      <fill>
        <patternFill patternType="solid">
          <fgColor theme="7"/>
          <bgColor theme="5"/>
        </patternFill>
      </fill>
      <border>
        <bottom style="thick">
          <color theme="2"/>
        </bottom>
      </border>
    </dxf>
    <dxf>
      <font>
        <b val="0"/>
        <i val="0"/>
        <color theme="1"/>
      </font>
      <fill>
        <patternFill patternType="solid">
          <fgColor auto="1"/>
          <bgColor theme="4" tint="0.79998168889431442"/>
        </patternFill>
      </fill>
      <border diagonalUp="0" diagonalDown="0">
        <left/>
        <right/>
        <top/>
        <bottom/>
        <vertical style="thin">
          <color theme="2"/>
        </vertical>
        <horizontal style="thin">
          <color theme="2"/>
        </horizontal>
      </border>
    </dxf>
  </dxfs>
  <tableStyles count="7" defaultTableStyle="General Table Style" defaultPivotStyle="PivotStyleLight16">
    <tableStyle name="General Table Style" pivot="0" count="6">
      <tableStyleElement type="wholeTable" dxfId="46"/>
      <tableStyleElement type="headerRow" dxfId="45"/>
      <tableStyleElement type="totalRow" dxfId="44"/>
      <tableStyleElement type="firstColumn" dxfId="43"/>
      <tableStyleElement type="lastColumn" dxfId="42"/>
      <tableStyleElement type="firstRowStripe" dxfId="41"/>
    </tableStyle>
    <tableStyle name="Input Assumptions Table Style" pivot="0" count="6">
      <tableStyleElement type="wholeTable" dxfId="40"/>
      <tableStyleElement type="headerRow" dxfId="39"/>
      <tableStyleElement type="totalRow" dxfId="38"/>
      <tableStyleElement type="firstColumn" dxfId="37"/>
      <tableStyleElement type="lastColumn" dxfId="36"/>
      <tableStyleElement type="firstRowStripe" dxfId="35"/>
    </tableStyle>
    <tableStyle name="Input Facts Table Style" pivot="0" count="6">
      <tableStyleElement type="wholeTable" dxfId="34"/>
      <tableStyleElement type="headerRow" dxfId="33"/>
      <tableStyleElement type="totalRow" dxfId="32"/>
      <tableStyleElement type="firstColumn" dxfId="31"/>
      <tableStyleElement type="lastColumn" dxfId="30"/>
      <tableStyleElement type="firstRowStripe" dxfId="29"/>
    </tableStyle>
    <tableStyle name="Multi-purpose Table Style 1" pivot="0" count="6">
      <tableStyleElement type="wholeTable" dxfId="28"/>
      <tableStyleElement type="headerRow" dxfId="27"/>
      <tableStyleElement type="totalRow" dxfId="26"/>
      <tableStyleElement type="firstColumn" dxfId="25"/>
      <tableStyleElement type="lastColumn" dxfId="24"/>
      <tableStyleElement type="firstRowStripe" dxfId="23"/>
    </tableStyle>
    <tableStyle name="Multi-purpose Table Style 2" pivot="0" count="6">
      <tableStyleElement type="wholeTable" dxfId="22"/>
      <tableStyleElement type="headerRow" dxfId="21"/>
      <tableStyleElement type="totalRow" dxfId="20"/>
      <tableStyleElement type="firstColumn" dxfId="19"/>
      <tableStyleElement type="lastColumn" dxfId="18"/>
      <tableStyleElement type="firstRowStripe" dxfId="17"/>
    </tableStyle>
    <tableStyle name="Multi-purpose Table Style 3" pivot="0" count="6">
      <tableStyleElement type="wholeTable" dxfId="16"/>
      <tableStyleElement type="headerRow" dxfId="15"/>
      <tableStyleElement type="totalRow" dxfId="14"/>
      <tableStyleElement type="firstColumn" dxfId="13"/>
      <tableStyleElement type="lastColumn" dxfId="12"/>
      <tableStyleElement type="firstRowStripe" dxfId="11"/>
    </tableStyle>
    <tableStyle name="Multi-purpose Table Style 4" pivot="0" count="6">
      <tableStyleElement type="wholeTable" dxfId="10"/>
      <tableStyleElement type="headerRow" dxfId="9"/>
      <tableStyleElement type="totalRow" dxfId="8"/>
      <tableStyleElement type="firstColumn" dxfId="7"/>
      <tableStyleElement type="lastColumn" dxfId="6"/>
      <tableStyleElement type="firstRowStripe" dxfId="5"/>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CC0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B14C"/>
      <color rgb="FF007932"/>
      <color rgb="FF738C1F"/>
      <color rgb="FFC3B600"/>
      <color rgb="FFD7A154"/>
      <color rgb="FF5E1D65"/>
      <color rgb="FF003974"/>
      <color rgb="FF799FFF"/>
      <color rgb="FF2FBFE2"/>
      <color rgb="FF39CE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4" Type="http://schemas.openxmlformats.org/officeDocument/2006/relationships/customXml" Target="../customXml/item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OUTPUT!$C$4:$C$17</c:f>
              <c:strCache>
                <c:ptCount val="7"/>
                <c:pt idx="0">
                  <c:v>Chlidren with SAM</c:v>
                </c:pt>
                <c:pt idx="1">
                  <c:v>Children screened</c:v>
                </c:pt>
                <c:pt idx="2">
                  <c:v>Completed referral</c:v>
                </c:pt>
                <c:pt idx="3">
                  <c:v>Enough product to treat</c:v>
                </c:pt>
                <c:pt idx="4">
                  <c:v>Enough staff to treat</c:v>
                </c:pt>
                <c:pt idx="5">
                  <c:v>Completed treatment cycle</c:v>
                </c:pt>
                <c:pt idx="6">
                  <c:v>Cured</c:v>
                </c:pt>
              </c:strCache>
            </c:strRef>
          </c:cat>
          <c:val>
            <c:numRef>
              <c:f>OUTPUT!$I$4:$I$17</c:f>
              <c:numCache>
                <c:formatCode>#,##0.0</c:formatCode>
                <c:ptCount val="7"/>
                <c:pt idx="0">
                  <c:v>25.359734664</c:v>
                </c:pt>
                <c:pt idx="1">
                  <c:v>7.9249170825</c:v>
                </c:pt>
                <c:pt idx="2">
                  <c:v>4.459740697114713</c:v>
                </c:pt>
                <c:pt idx="3">
                  <c:v>4.459740697114713</c:v>
                </c:pt>
                <c:pt idx="4">
                  <c:v>4.459740697114713</c:v>
                </c:pt>
                <c:pt idx="5">
                  <c:v>4.40552663978486</c:v>
                </c:pt>
                <c:pt idx="6">
                  <c:v>4.145044903032801</c:v>
                </c:pt>
              </c:numCache>
            </c:numRef>
          </c:val>
        </c:ser>
        <c:dLbls>
          <c:showLegendKey val="0"/>
          <c:showVal val="0"/>
          <c:showCatName val="0"/>
          <c:showSerName val="0"/>
          <c:showPercent val="0"/>
          <c:showBubbleSize val="0"/>
        </c:dLbls>
        <c:gapWidth val="150"/>
        <c:axId val="2084118232"/>
        <c:axId val="2083114440"/>
      </c:barChart>
      <c:catAx>
        <c:axId val="2084118232"/>
        <c:scaling>
          <c:orientation val="minMax"/>
        </c:scaling>
        <c:delete val="0"/>
        <c:axPos val="b"/>
        <c:numFmt formatCode="General" sourceLinked="0"/>
        <c:majorTickMark val="out"/>
        <c:minorTickMark val="none"/>
        <c:tickLblPos val="nextTo"/>
        <c:crossAx val="2083114440"/>
        <c:crosses val="autoZero"/>
        <c:auto val="1"/>
        <c:lblAlgn val="ctr"/>
        <c:lblOffset val="100"/>
        <c:noMultiLvlLbl val="0"/>
      </c:catAx>
      <c:valAx>
        <c:axId val="2083114440"/>
        <c:scaling>
          <c:orientation val="minMax"/>
        </c:scaling>
        <c:delete val="0"/>
        <c:axPos val="l"/>
        <c:majorGridlines/>
        <c:title>
          <c:tx>
            <c:rich>
              <a:bodyPr rot="-5400000" vert="horz"/>
              <a:lstStyle/>
              <a:p>
                <a:pPr>
                  <a:defRPr/>
                </a:pPr>
                <a:r>
                  <a:rPr lang="es-ES_tradnl"/>
                  <a:t>Children</a:t>
                </a:r>
                <a:r>
                  <a:rPr lang="es-ES_tradnl" baseline="0"/>
                  <a:t> with SAM in Million</a:t>
                </a:r>
                <a:endParaRPr lang="es-ES_tradnl"/>
              </a:p>
            </c:rich>
          </c:tx>
          <c:layout/>
          <c:overlay val="0"/>
        </c:title>
        <c:numFmt formatCode="#,##0" sourceLinked="0"/>
        <c:majorTickMark val="out"/>
        <c:minorTickMark val="none"/>
        <c:tickLblPos val="nextTo"/>
        <c:crossAx val="2084118232"/>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298342</xdr:colOff>
      <xdr:row>0</xdr:row>
      <xdr:rowOff>93059</xdr:rowOff>
    </xdr:from>
    <xdr:to>
      <xdr:col>21</xdr:col>
      <xdr:colOff>6845</xdr:colOff>
      <xdr:row>28</xdr:row>
      <xdr:rowOff>86491</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1 - Bain A4">
  <a:themeElements>
    <a:clrScheme name="Custom 4">
      <a:dk1>
        <a:sysClr val="windowText" lastClr="000000"/>
      </a:dk1>
      <a:lt1>
        <a:srgbClr val="DDDDDD"/>
      </a:lt1>
      <a:dk2>
        <a:srgbClr val="777777"/>
      </a:dk2>
      <a:lt2>
        <a:srgbClr val="FFFFFF"/>
      </a:lt2>
      <a:accent1>
        <a:srgbClr val="B2B2B2"/>
      </a:accent1>
      <a:accent2>
        <a:srgbClr val="777777"/>
      </a:accent2>
      <a:accent3>
        <a:srgbClr val="333333"/>
      </a:accent3>
      <a:accent4>
        <a:srgbClr val="006393"/>
      </a:accent4>
      <a:accent5>
        <a:srgbClr val="0091BF"/>
      </a:accent5>
      <a:accent6>
        <a:srgbClr val="61A48D"/>
      </a:accent6>
      <a:hlink>
        <a:srgbClr val="000000"/>
      </a:hlink>
      <a:folHlink>
        <a:srgbClr val="CC0000"/>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4"/>
        </a:solidFill>
        <a:ln w="19050">
          <a:noFill/>
        </a:ln>
      </a:spPr>
      <a:bodyPr lIns="0" tIns="0" rIns="0" bIns="0" rtlCol="0" anchor="ctr"/>
      <a:lstStyle>
        <a:defPPr algn="ctr">
          <a:defRPr sz="2000" dirty="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rgbClr val="080808"/>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36000" tIns="36000" rIns="36000" bIns="36000" rtlCol="0">
        <a:spAutoFit/>
      </a:bodyPr>
      <a:lstStyle>
        <a:defPPr>
          <a:defRPr sz="2000" dirty="0" err="1" smtClean="0"/>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 Id="rId2"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B1:Y52"/>
  <sheetViews>
    <sheetView showGridLines="0" tabSelected="1" workbookViewId="0">
      <selection activeCell="T4" sqref="T4:X4"/>
    </sheetView>
  </sheetViews>
  <sheetFormatPr baseColWidth="10" defaultColWidth="8.83203125" defaultRowHeight="12" x14ac:dyDescent="0"/>
  <cols>
    <col min="1" max="1" width="3.6640625" style="250" customWidth="1"/>
    <col min="2" max="2" width="3" style="250" customWidth="1"/>
    <col min="3" max="3" width="13.33203125" style="250" customWidth="1"/>
    <col min="4" max="4" width="38" style="250" customWidth="1"/>
    <col min="5" max="5" width="11.6640625" style="250" customWidth="1"/>
    <col min="6" max="6" width="3.6640625" style="250" customWidth="1"/>
    <col min="7" max="7" width="3.1640625" style="250" customWidth="1"/>
    <col min="8" max="8" width="3.5" style="250" customWidth="1"/>
    <col min="9" max="9" width="3" style="250" customWidth="1"/>
    <col min="10" max="10" width="20.6640625" style="250" customWidth="1"/>
    <col min="11" max="15" width="15.1640625" style="250" customWidth="1"/>
    <col min="16" max="16" width="2.6640625" style="250" customWidth="1"/>
    <col min="17" max="17" width="3" style="251" customWidth="1"/>
    <col min="18" max="18" width="3.33203125" style="250" customWidth="1"/>
    <col min="19" max="19" width="2.5" style="250" customWidth="1"/>
    <col min="20" max="21" width="19.6640625" style="250" customWidth="1"/>
    <col min="22" max="24" width="18.33203125" style="250" customWidth="1"/>
    <col min="25" max="25" width="2.5" style="250" customWidth="1"/>
    <col min="26" max="16384" width="8.83203125" style="250"/>
  </cols>
  <sheetData>
    <row r="1" spans="2:25" ht="13" thickBot="1"/>
    <row r="2" spans="2:25" ht="13" thickBot="1">
      <c r="B2" s="252" t="s">
        <v>205</v>
      </c>
      <c r="C2" s="252"/>
      <c r="D2" s="253"/>
      <c r="E2" s="254"/>
      <c r="F2" s="255"/>
      <c r="I2" s="252" t="s">
        <v>203</v>
      </c>
      <c r="J2" s="253"/>
      <c r="K2" s="254"/>
      <c r="L2" s="254"/>
      <c r="M2" s="254"/>
      <c r="N2" s="254"/>
      <c r="O2" s="254"/>
      <c r="P2" s="255"/>
      <c r="S2" s="252" t="s">
        <v>204</v>
      </c>
      <c r="T2" s="253"/>
      <c r="U2" s="254"/>
      <c r="V2" s="254"/>
      <c r="W2" s="254"/>
      <c r="X2" s="254"/>
      <c r="Y2" s="255"/>
    </row>
    <row r="3" spans="2:25">
      <c r="B3" s="256"/>
      <c r="C3" s="257"/>
      <c r="D3" s="257"/>
      <c r="E3" s="257"/>
      <c r="F3" s="258"/>
      <c r="I3" s="256"/>
      <c r="J3" s="257"/>
      <c r="K3" s="257"/>
      <c r="L3" s="257"/>
      <c r="M3" s="257"/>
      <c r="N3" s="257"/>
      <c r="O3" s="257"/>
      <c r="P3" s="258"/>
      <c r="S3" s="256"/>
      <c r="T3" s="257"/>
      <c r="U3" s="257"/>
      <c r="V3" s="257"/>
      <c r="W3" s="257"/>
      <c r="X3" s="257"/>
      <c r="Y3" s="258"/>
    </row>
    <row r="4" spans="2:25" ht="90" customHeight="1">
      <c r="B4" s="259"/>
      <c r="C4" s="313" t="s">
        <v>225</v>
      </c>
      <c r="D4" s="313"/>
      <c r="E4" s="313"/>
      <c r="F4" s="262"/>
      <c r="I4" s="259"/>
      <c r="J4" s="314" t="s">
        <v>226</v>
      </c>
      <c r="K4" s="314"/>
      <c r="L4" s="314"/>
      <c r="M4" s="314"/>
      <c r="N4" s="314"/>
      <c r="O4" s="314"/>
      <c r="P4" s="262"/>
      <c r="S4" s="259"/>
      <c r="T4" s="314" t="s">
        <v>227</v>
      </c>
      <c r="U4" s="314"/>
      <c r="V4" s="314"/>
      <c r="W4" s="314"/>
      <c r="X4" s="314"/>
      <c r="Y4" s="262"/>
    </row>
    <row r="5" spans="2:25" ht="13" thickBot="1">
      <c r="B5" s="256"/>
      <c r="C5" s="257"/>
      <c r="D5" s="257"/>
      <c r="E5" s="257"/>
      <c r="F5" s="258"/>
      <c r="I5" s="256"/>
      <c r="J5" s="257"/>
      <c r="K5" s="257"/>
      <c r="L5" s="257"/>
      <c r="M5" s="257"/>
      <c r="N5" s="257"/>
      <c r="O5" s="257"/>
      <c r="P5" s="258"/>
      <c r="S5" s="256"/>
      <c r="T5" s="257"/>
      <c r="U5" s="257"/>
      <c r="V5" s="257"/>
      <c r="W5" s="257"/>
      <c r="X5" s="257"/>
      <c r="Y5" s="258"/>
    </row>
    <row r="6" spans="2:25" ht="13" thickBot="1">
      <c r="B6" s="256"/>
      <c r="C6" s="273" t="s">
        <v>216</v>
      </c>
      <c r="D6" s="274" t="s">
        <v>1</v>
      </c>
      <c r="E6" s="275" t="s">
        <v>217</v>
      </c>
      <c r="F6" s="258"/>
      <c r="I6" s="256"/>
      <c r="J6" s="271" t="s">
        <v>192</v>
      </c>
      <c r="K6" s="306" t="s">
        <v>224</v>
      </c>
      <c r="M6" s="257"/>
      <c r="N6" s="257"/>
      <c r="O6" s="257"/>
      <c r="P6" s="258"/>
      <c r="S6" s="256"/>
      <c r="T6" s="271" t="s">
        <v>193</v>
      </c>
      <c r="U6" s="306" t="s">
        <v>223</v>
      </c>
      <c r="V6" s="257"/>
      <c r="W6" s="257"/>
      <c r="X6" s="257"/>
      <c r="Y6" s="258"/>
    </row>
    <row r="7" spans="2:25" ht="24">
      <c r="B7" s="256"/>
      <c r="C7" s="277" t="s">
        <v>18</v>
      </c>
      <c r="D7" s="272" t="s">
        <v>206</v>
      </c>
      <c r="E7" s="304">
        <v>0.25</v>
      </c>
      <c r="F7" s="258"/>
      <c r="I7" s="256"/>
      <c r="J7" s="257"/>
      <c r="K7" s="257"/>
      <c r="L7" s="257"/>
      <c r="M7" s="257"/>
      <c r="N7" s="257"/>
      <c r="O7" s="257"/>
      <c r="P7" s="258"/>
      <c r="S7" s="256"/>
      <c r="T7" s="257"/>
      <c r="U7" s="257"/>
      <c r="V7" s="257"/>
      <c r="W7" s="257"/>
      <c r="X7" s="257"/>
      <c r="Y7" s="258"/>
    </row>
    <row r="8" spans="2:25" ht="24">
      <c r="B8" s="256"/>
      <c r="C8" s="277" t="s">
        <v>19</v>
      </c>
      <c r="D8" s="272" t="s">
        <v>207</v>
      </c>
      <c r="E8" s="304">
        <v>0.5161290322580645</v>
      </c>
      <c r="F8" s="258"/>
      <c r="I8" s="259"/>
      <c r="J8" s="260" t="s">
        <v>199</v>
      </c>
      <c r="K8" s="261"/>
      <c r="L8" s="261"/>
      <c r="M8" s="261"/>
      <c r="N8" s="261"/>
      <c r="O8" s="261"/>
      <c r="P8" s="262"/>
      <c r="S8" s="259"/>
      <c r="T8" s="260" t="s">
        <v>198</v>
      </c>
      <c r="U8" s="261"/>
      <c r="V8" s="261"/>
      <c r="W8" s="261"/>
      <c r="X8" s="261"/>
      <c r="Y8" s="262"/>
    </row>
    <row r="9" spans="2:25" ht="30" customHeight="1" thickBot="1">
      <c r="B9" s="256"/>
      <c r="C9" s="277" t="s">
        <v>16</v>
      </c>
      <c r="D9" s="272" t="s">
        <v>208</v>
      </c>
      <c r="E9" s="304">
        <v>0.93</v>
      </c>
      <c r="F9" s="258"/>
      <c r="I9" s="256"/>
      <c r="J9" s="257"/>
      <c r="K9" s="257"/>
      <c r="L9" s="257"/>
      <c r="M9" s="257"/>
      <c r="N9" s="257"/>
      <c r="O9" s="257"/>
      <c r="P9" s="258"/>
      <c r="S9" s="256"/>
      <c r="T9" s="257"/>
      <c r="U9" s="257"/>
      <c r="V9" s="257"/>
      <c r="W9" s="257"/>
      <c r="X9" s="257"/>
      <c r="Y9" s="258"/>
    </row>
    <row r="10" spans="2:25" ht="29.5" customHeight="1" thickBot="1">
      <c r="B10" s="256"/>
      <c r="C10" s="277" t="s">
        <v>17</v>
      </c>
      <c r="D10" s="272" t="s">
        <v>209</v>
      </c>
      <c r="E10" s="304">
        <v>1</v>
      </c>
      <c r="F10" s="258"/>
      <c r="I10" s="256"/>
      <c r="J10" s="285" t="s">
        <v>190</v>
      </c>
      <c r="K10" s="286"/>
      <c r="L10" s="287"/>
      <c r="M10" s="287"/>
      <c r="N10" s="287"/>
      <c r="O10" s="288"/>
      <c r="P10" s="258"/>
      <c r="S10" s="256"/>
      <c r="T10" s="282" t="s">
        <v>212</v>
      </c>
      <c r="U10" s="283" t="s">
        <v>223</v>
      </c>
      <c r="V10" s="283" t="s">
        <v>195</v>
      </c>
      <c r="W10" s="283" t="s">
        <v>196</v>
      </c>
      <c r="X10" s="284" t="s">
        <v>197</v>
      </c>
      <c r="Y10" s="258"/>
    </row>
    <row r="11" spans="2:25" ht="24">
      <c r="B11" s="256"/>
      <c r="C11" s="277" t="s">
        <v>20</v>
      </c>
      <c r="D11" s="272" t="s">
        <v>210</v>
      </c>
      <c r="E11" s="304">
        <v>0.92</v>
      </c>
      <c r="F11" s="258"/>
      <c r="I11" s="256"/>
      <c r="J11" s="289" t="s">
        <v>60</v>
      </c>
      <c r="K11" s="290">
        <v>2016</v>
      </c>
      <c r="L11" s="290">
        <v>2017</v>
      </c>
      <c r="M11" s="290">
        <v>2018</v>
      </c>
      <c r="N11" s="290">
        <v>2019</v>
      </c>
      <c r="O11" s="291">
        <v>2020</v>
      </c>
      <c r="P11" s="258"/>
      <c r="S11" s="256"/>
      <c r="T11" s="279" t="s">
        <v>11</v>
      </c>
      <c r="U11" s="302" t="s">
        <v>140</v>
      </c>
      <c r="V11" s="302" t="s">
        <v>140</v>
      </c>
      <c r="W11" s="302" t="s">
        <v>141</v>
      </c>
      <c r="X11" s="304" t="s">
        <v>140</v>
      </c>
      <c r="Y11" s="258"/>
    </row>
    <row r="12" spans="2:25" ht="25" thickBot="1">
      <c r="B12" s="256"/>
      <c r="C12" s="278" t="s">
        <v>21</v>
      </c>
      <c r="D12" s="276" t="s">
        <v>211</v>
      </c>
      <c r="E12" s="305">
        <v>0.86956521739130432</v>
      </c>
      <c r="F12" s="258"/>
      <c r="I12" s="256"/>
      <c r="J12" s="292" t="s">
        <v>11</v>
      </c>
      <c r="K12" s="298">
        <v>0.05</v>
      </c>
      <c r="L12" s="298">
        <v>0.25</v>
      </c>
      <c r="M12" s="298">
        <v>0.5</v>
      </c>
      <c r="N12" s="298">
        <v>0.75</v>
      </c>
      <c r="O12" s="299">
        <v>1</v>
      </c>
      <c r="P12" s="258"/>
      <c r="S12" s="256"/>
      <c r="T12" s="279" t="s">
        <v>12</v>
      </c>
      <c r="U12" s="302" t="s">
        <v>140</v>
      </c>
      <c r="V12" s="302" t="s">
        <v>140</v>
      </c>
      <c r="W12" s="302" t="s">
        <v>141</v>
      </c>
      <c r="X12" s="304" t="s">
        <v>140</v>
      </c>
      <c r="Y12" s="258"/>
    </row>
    <row r="13" spans="2:25" ht="13" thickBot="1">
      <c r="B13" s="268"/>
      <c r="C13" s="269"/>
      <c r="D13" s="269"/>
      <c r="E13" s="269"/>
      <c r="F13" s="270"/>
      <c r="I13" s="256"/>
      <c r="J13" s="292" t="s">
        <v>12</v>
      </c>
      <c r="K13" s="298">
        <v>0.05</v>
      </c>
      <c r="L13" s="298">
        <v>0.25</v>
      </c>
      <c r="M13" s="298">
        <v>0.5</v>
      </c>
      <c r="N13" s="298">
        <v>0.75</v>
      </c>
      <c r="O13" s="299">
        <v>1</v>
      </c>
      <c r="P13" s="258"/>
      <c r="S13" s="256"/>
      <c r="T13" s="281" t="s">
        <v>135</v>
      </c>
      <c r="U13" s="298" t="s">
        <v>140</v>
      </c>
      <c r="V13" s="298" t="s">
        <v>141</v>
      </c>
      <c r="W13" s="298" t="s">
        <v>140</v>
      </c>
      <c r="X13" s="308" t="s">
        <v>140</v>
      </c>
      <c r="Y13" s="258"/>
    </row>
    <row r="14" spans="2:25">
      <c r="I14" s="256"/>
      <c r="J14" s="292" t="s">
        <v>135</v>
      </c>
      <c r="K14" s="298">
        <v>0.05</v>
      </c>
      <c r="L14" s="298">
        <v>0.25</v>
      </c>
      <c r="M14" s="298">
        <v>0.5</v>
      </c>
      <c r="N14" s="298">
        <v>0.75</v>
      </c>
      <c r="O14" s="299">
        <v>1</v>
      </c>
      <c r="P14" s="258"/>
      <c r="S14" s="256"/>
      <c r="T14" s="279" t="s">
        <v>13</v>
      </c>
      <c r="U14" s="302" t="s">
        <v>140</v>
      </c>
      <c r="V14" s="302" t="s">
        <v>141</v>
      </c>
      <c r="W14" s="302" t="s">
        <v>140</v>
      </c>
      <c r="X14" s="304" t="s">
        <v>140</v>
      </c>
      <c r="Y14" s="258"/>
    </row>
    <row r="15" spans="2:25">
      <c r="C15" s="250" t="s">
        <v>218</v>
      </c>
      <c r="I15" s="256"/>
      <c r="J15" s="292" t="s">
        <v>13</v>
      </c>
      <c r="K15" s="298">
        <v>0.05</v>
      </c>
      <c r="L15" s="298">
        <v>0.25</v>
      </c>
      <c r="M15" s="298">
        <v>0.5</v>
      </c>
      <c r="N15" s="298">
        <v>0.75</v>
      </c>
      <c r="O15" s="299">
        <v>1</v>
      </c>
      <c r="P15" s="258"/>
      <c r="S15" s="256"/>
      <c r="T15" s="281" t="s">
        <v>14</v>
      </c>
      <c r="U15" s="298" t="s">
        <v>140</v>
      </c>
      <c r="V15" s="298" t="s">
        <v>140</v>
      </c>
      <c r="W15" s="298" t="s">
        <v>141</v>
      </c>
      <c r="X15" s="308" t="s">
        <v>140</v>
      </c>
      <c r="Y15" s="258"/>
    </row>
    <row r="16" spans="2:25" ht="13" thickBot="1">
      <c r="I16" s="256"/>
      <c r="J16" s="292" t="s">
        <v>14</v>
      </c>
      <c r="K16" s="298">
        <v>0.05</v>
      </c>
      <c r="L16" s="298">
        <v>0.25</v>
      </c>
      <c r="M16" s="298">
        <v>0.5</v>
      </c>
      <c r="N16" s="298">
        <v>0.75</v>
      </c>
      <c r="O16" s="299">
        <v>1</v>
      </c>
      <c r="P16" s="258"/>
      <c r="S16" s="256"/>
      <c r="T16" s="280" t="s">
        <v>15</v>
      </c>
      <c r="U16" s="300" t="s">
        <v>140</v>
      </c>
      <c r="V16" s="300" t="s">
        <v>141</v>
      </c>
      <c r="W16" s="300" t="s">
        <v>140</v>
      </c>
      <c r="X16" s="305" t="s">
        <v>140</v>
      </c>
      <c r="Y16" s="258"/>
    </row>
    <row r="17" spans="9:25" ht="13" thickBot="1">
      <c r="I17" s="256"/>
      <c r="J17" s="267" t="s">
        <v>15</v>
      </c>
      <c r="K17" s="300">
        <v>0.05</v>
      </c>
      <c r="L17" s="300">
        <v>0.25</v>
      </c>
      <c r="M17" s="300">
        <v>0.5</v>
      </c>
      <c r="N17" s="300">
        <v>0.75</v>
      </c>
      <c r="O17" s="301">
        <v>1</v>
      </c>
      <c r="P17" s="258"/>
      <c r="S17" s="268"/>
      <c r="T17" s="269"/>
      <c r="U17" s="269"/>
      <c r="V17" s="269"/>
      <c r="W17" s="269"/>
      <c r="X17" s="269"/>
      <c r="Y17" s="270"/>
    </row>
    <row r="18" spans="9:25" ht="13" thickBot="1">
      <c r="I18" s="256"/>
      <c r="J18" s="257"/>
      <c r="K18" s="257"/>
      <c r="L18" s="257"/>
      <c r="M18" s="257"/>
      <c r="N18" s="257"/>
      <c r="O18" s="257"/>
      <c r="P18" s="258"/>
    </row>
    <row r="19" spans="9:25" ht="13" thickBot="1">
      <c r="I19" s="256"/>
      <c r="J19" s="263" t="s">
        <v>191</v>
      </c>
      <c r="K19" s="264"/>
      <c r="L19" s="265"/>
      <c r="M19" s="265"/>
      <c r="N19" s="265"/>
      <c r="O19" s="266"/>
      <c r="P19" s="258"/>
    </row>
    <row r="20" spans="9:25">
      <c r="I20" s="256"/>
      <c r="J20" s="289" t="s">
        <v>60</v>
      </c>
      <c r="K20" s="290">
        <v>2016</v>
      </c>
      <c r="L20" s="290">
        <v>2017</v>
      </c>
      <c r="M20" s="290">
        <v>2018</v>
      </c>
      <c r="N20" s="290">
        <v>2019</v>
      </c>
      <c r="O20" s="291">
        <v>2020</v>
      </c>
      <c r="P20" s="258"/>
    </row>
    <row r="21" spans="9:25">
      <c r="I21" s="256"/>
      <c r="J21" s="292" t="s">
        <v>11</v>
      </c>
      <c r="K21" s="298">
        <v>0</v>
      </c>
      <c r="L21" s="298">
        <v>0</v>
      </c>
      <c r="M21" s="298">
        <v>0.05</v>
      </c>
      <c r="N21" s="298">
        <v>0.1</v>
      </c>
      <c r="O21" s="299">
        <v>0.15</v>
      </c>
      <c r="P21" s="258"/>
    </row>
    <row r="22" spans="9:25">
      <c r="I22" s="256"/>
      <c r="J22" s="292" t="s">
        <v>12</v>
      </c>
      <c r="K22" s="298">
        <v>0</v>
      </c>
      <c r="L22" s="298">
        <v>0</v>
      </c>
      <c r="M22" s="298">
        <v>0</v>
      </c>
      <c r="N22" s="298">
        <v>0.05</v>
      </c>
      <c r="O22" s="299">
        <v>0.2</v>
      </c>
      <c r="P22" s="258"/>
    </row>
    <row r="23" spans="9:25">
      <c r="I23" s="256"/>
      <c r="J23" s="292" t="s">
        <v>135</v>
      </c>
      <c r="K23" s="298">
        <v>0.05</v>
      </c>
      <c r="L23" s="298">
        <v>0.1</v>
      </c>
      <c r="M23" s="298">
        <v>0.15</v>
      </c>
      <c r="N23" s="298">
        <v>0.2</v>
      </c>
      <c r="O23" s="299">
        <v>0.25</v>
      </c>
      <c r="P23" s="258"/>
    </row>
    <row r="24" spans="9:25">
      <c r="I24" s="256"/>
      <c r="J24" s="292" t="s">
        <v>13</v>
      </c>
      <c r="K24" s="298">
        <v>0</v>
      </c>
      <c r="L24" s="298">
        <v>0</v>
      </c>
      <c r="M24" s="298">
        <v>0</v>
      </c>
      <c r="N24" s="298">
        <v>0.05</v>
      </c>
      <c r="O24" s="299">
        <v>0.2</v>
      </c>
      <c r="P24" s="258"/>
    </row>
    <row r="25" spans="9:25">
      <c r="I25" s="256"/>
      <c r="J25" s="292" t="s">
        <v>14</v>
      </c>
      <c r="K25" s="298">
        <v>0</v>
      </c>
      <c r="L25" s="298">
        <v>0</v>
      </c>
      <c r="M25" s="298">
        <v>0.05</v>
      </c>
      <c r="N25" s="298">
        <v>0.1</v>
      </c>
      <c r="O25" s="299">
        <v>0.15</v>
      </c>
      <c r="P25" s="258"/>
    </row>
    <row r="26" spans="9:25" ht="13" thickBot="1">
      <c r="I26" s="256"/>
      <c r="J26" s="267" t="s">
        <v>15</v>
      </c>
      <c r="K26" s="300">
        <v>0</v>
      </c>
      <c r="L26" s="300">
        <v>0</v>
      </c>
      <c r="M26" s="300">
        <v>0.05</v>
      </c>
      <c r="N26" s="300">
        <v>0.2</v>
      </c>
      <c r="O26" s="301">
        <v>0.5</v>
      </c>
      <c r="P26" s="258"/>
    </row>
    <row r="27" spans="9:25" ht="13" thickBot="1">
      <c r="I27" s="256"/>
      <c r="J27" s="257"/>
      <c r="K27" s="257"/>
      <c r="L27" s="257"/>
      <c r="M27" s="257"/>
      <c r="N27" s="257"/>
      <c r="O27" s="257"/>
      <c r="P27" s="258"/>
    </row>
    <row r="28" spans="9:25" ht="13" thickBot="1">
      <c r="I28" s="256"/>
      <c r="J28" s="263" t="s">
        <v>194</v>
      </c>
      <c r="K28" s="264"/>
      <c r="L28" s="265"/>
      <c r="M28" s="265"/>
      <c r="N28" s="265"/>
      <c r="O28" s="266"/>
      <c r="P28" s="258"/>
    </row>
    <row r="29" spans="9:25">
      <c r="I29" s="256"/>
      <c r="J29" s="289" t="s">
        <v>60</v>
      </c>
      <c r="K29" s="290">
        <v>2016</v>
      </c>
      <c r="L29" s="290">
        <v>2017</v>
      </c>
      <c r="M29" s="290">
        <v>2018</v>
      </c>
      <c r="N29" s="290">
        <v>2019</v>
      </c>
      <c r="O29" s="291">
        <v>2020</v>
      </c>
      <c r="P29" s="258"/>
    </row>
    <row r="30" spans="9:25">
      <c r="I30" s="256"/>
      <c r="J30" s="292" t="s">
        <v>11</v>
      </c>
      <c r="K30" s="307">
        <v>0</v>
      </c>
      <c r="L30" s="307">
        <v>0</v>
      </c>
      <c r="M30" s="307">
        <v>0.05</v>
      </c>
      <c r="N30" s="307">
        <v>0.1</v>
      </c>
      <c r="O30" s="308">
        <v>0.15</v>
      </c>
      <c r="P30" s="258"/>
    </row>
    <row r="31" spans="9:25">
      <c r="I31" s="256"/>
      <c r="J31" s="292" t="s">
        <v>12</v>
      </c>
      <c r="K31" s="307">
        <v>0</v>
      </c>
      <c r="L31" s="307">
        <v>0</v>
      </c>
      <c r="M31" s="307">
        <v>0</v>
      </c>
      <c r="N31" s="307">
        <v>0.05</v>
      </c>
      <c r="O31" s="308">
        <v>0.2</v>
      </c>
      <c r="P31" s="258"/>
    </row>
    <row r="32" spans="9:25">
      <c r="I32" s="256"/>
      <c r="J32" s="292" t="s">
        <v>135</v>
      </c>
      <c r="K32" s="307">
        <v>0.05</v>
      </c>
      <c r="L32" s="307">
        <v>0.1</v>
      </c>
      <c r="M32" s="307">
        <v>0.15</v>
      </c>
      <c r="N32" s="307">
        <v>0.2</v>
      </c>
      <c r="O32" s="308">
        <v>0.25</v>
      </c>
      <c r="P32" s="258"/>
    </row>
    <row r="33" spans="9:17">
      <c r="I33" s="256"/>
      <c r="J33" s="292" t="s">
        <v>13</v>
      </c>
      <c r="K33" s="307">
        <v>0</v>
      </c>
      <c r="L33" s="307">
        <v>0</v>
      </c>
      <c r="M33" s="307">
        <v>0</v>
      </c>
      <c r="N33" s="307">
        <v>0.05</v>
      </c>
      <c r="O33" s="308">
        <v>0.2</v>
      </c>
      <c r="P33" s="258"/>
    </row>
    <row r="34" spans="9:17">
      <c r="I34" s="256"/>
      <c r="J34" s="292" t="s">
        <v>14</v>
      </c>
      <c r="K34" s="307">
        <v>0</v>
      </c>
      <c r="L34" s="307">
        <v>0</v>
      </c>
      <c r="M34" s="307">
        <v>0.05</v>
      </c>
      <c r="N34" s="307">
        <v>0.1</v>
      </c>
      <c r="O34" s="308">
        <v>0.15</v>
      </c>
      <c r="P34" s="258"/>
    </row>
    <row r="35" spans="9:17" ht="13" thickBot="1">
      <c r="I35" s="256"/>
      <c r="J35" s="267" t="s">
        <v>15</v>
      </c>
      <c r="K35" s="309">
        <v>0</v>
      </c>
      <c r="L35" s="309">
        <v>0</v>
      </c>
      <c r="M35" s="309">
        <v>0.05</v>
      </c>
      <c r="N35" s="309">
        <v>0.2</v>
      </c>
      <c r="O35" s="305">
        <v>0.5</v>
      </c>
      <c r="P35" s="258"/>
    </row>
    <row r="36" spans="9:17" ht="13" thickBot="1">
      <c r="I36" s="268"/>
      <c r="J36" s="269"/>
      <c r="K36" s="269"/>
      <c r="L36" s="269"/>
      <c r="M36" s="269"/>
      <c r="N36" s="269"/>
      <c r="O36" s="269"/>
      <c r="P36" s="270"/>
    </row>
    <row r="37" spans="9:17">
      <c r="Q37" s="250"/>
    </row>
    <row r="38" spans="9:17">
      <c r="Q38" s="250"/>
    </row>
    <row r="39" spans="9:17">
      <c r="Q39" s="250"/>
    </row>
    <row r="40" spans="9:17">
      <c r="Q40" s="250"/>
    </row>
    <row r="41" spans="9:17">
      <c r="Q41" s="250"/>
    </row>
    <row r="42" spans="9:17">
      <c r="Q42" s="250"/>
    </row>
    <row r="43" spans="9:17">
      <c r="Q43" s="250"/>
    </row>
    <row r="44" spans="9:17">
      <c r="Q44" s="250"/>
    </row>
    <row r="45" spans="9:17">
      <c r="Q45" s="250"/>
    </row>
    <row r="46" spans="9:17">
      <c r="Q46" s="250"/>
    </row>
    <row r="47" spans="9:17">
      <c r="Q47" s="250"/>
    </row>
    <row r="48" spans="9:17">
      <c r="Q48" s="250"/>
    </row>
    <row r="49" spans="17:17">
      <c r="Q49" s="250"/>
    </row>
    <row r="50" spans="17:17">
      <c r="Q50" s="250"/>
    </row>
    <row r="51" spans="17:17">
      <c r="Q51" s="250"/>
    </row>
    <row r="52" spans="17:17">
      <c r="Q52" s="250"/>
    </row>
  </sheetData>
  <mergeCells count="3">
    <mergeCell ref="C4:E4"/>
    <mergeCell ref="J4:O4"/>
    <mergeCell ref="T4:X4"/>
  </mergeCells>
  <dataValidations count="3">
    <dataValidation type="list" allowBlank="1" showInputMessage="1" showErrorMessage="1" sqref="K6">
      <formula1>"Perfect World, Real World, Manual"</formula1>
    </dataValidation>
    <dataValidation type="list" allowBlank="1" showInputMessage="1" showErrorMessage="1" sqref="U11:X16">
      <formula1>"On, Off"</formula1>
    </dataValidation>
    <dataValidation type="list" allowBlank="1" showInputMessage="1" showErrorMessage="1" sqref="U6">
      <formula1>$U$10:$X$10</formula1>
    </dataValidation>
  </dataValidations>
  <pageMargins left="0.2361111111111111" right="0.2361111111111111" top="0.75" bottom="0.75" header="0.31944444444444442" footer="0.31944444444444442"/>
  <pageSetup orientation="landscape" verticalDpi="0"/>
  <headerFooter>
    <oddFooter>&amp;CPage &amp;P of &amp;N</oddFooter>
  </headerFooter>
  <customProperties>
    <customPr name="SheetId" r:id="rId1"/>
  </customPropertie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C2:T56"/>
  <sheetViews>
    <sheetView showGridLines="0" zoomScale="120" zoomScaleNormal="120" zoomScalePageLayoutView="120" workbookViewId="0">
      <selection activeCell="C32" sqref="C32:I32"/>
    </sheetView>
  </sheetViews>
  <sheetFormatPr baseColWidth="10" defaultColWidth="9.1640625" defaultRowHeight="12" x14ac:dyDescent="0"/>
  <cols>
    <col min="2" max="2" width="4.1640625" customWidth="1"/>
    <col min="3" max="3" width="33" style="1" bestFit="1" customWidth="1"/>
    <col min="4" max="4" width="11.5" style="3" bestFit="1" customWidth="1"/>
    <col min="5" max="5" width="8.1640625" hidden="1" customWidth="1"/>
    <col min="6" max="6" width="9.6640625" bestFit="1" customWidth="1"/>
    <col min="7" max="8" width="9.6640625" hidden="1" customWidth="1"/>
    <col min="9" max="9" width="10.33203125" bestFit="1" customWidth="1"/>
    <col min="10" max="10" width="3.33203125" customWidth="1"/>
    <col min="11" max="11" width="9.6640625" hidden="1" customWidth="1"/>
    <col min="12" max="12" width="14.33203125" customWidth="1"/>
    <col min="21" max="21" width="5.33203125" customWidth="1"/>
  </cols>
  <sheetData>
    <row r="2" spans="3:12" ht="13" thickBot="1"/>
    <row r="3" spans="3:12">
      <c r="C3" s="185" t="s">
        <v>127</v>
      </c>
      <c r="D3" s="186">
        <v>2015</v>
      </c>
      <c r="E3" s="186">
        <v>2016</v>
      </c>
      <c r="F3" s="186">
        <v>2017</v>
      </c>
      <c r="G3" s="186">
        <v>2018</v>
      </c>
      <c r="H3" s="186">
        <v>2019</v>
      </c>
      <c r="I3" s="187">
        <v>2020</v>
      </c>
      <c r="J3" s="161"/>
      <c r="K3" s="162" t="s">
        <v>9</v>
      </c>
      <c r="L3" s="1"/>
    </row>
    <row r="4" spans="3:12" s="1" customFormat="1">
      <c r="C4" s="179" t="s">
        <v>32</v>
      </c>
      <c r="D4" s="170">
        <f>Calculations!D4/10^6</f>
        <v>26.666666666666668</v>
      </c>
      <c r="E4" s="170">
        <f>Calculations!E4/10^6</f>
        <v>26.4</v>
      </c>
      <c r="F4" s="170">
        <f>Calculations!F4/10^6</f>
        <v>26.135999999999999</v>
      </c>
      <c r="G4" s="170">
        <f>Calculations!G4/10^6</f>
        <v>25.874639999999999</v>
      </c>
      <c r="H4" s="170">
        <f>Calculations!H4/10^6</f>
        <v>25.615893600000003</v>
      </c>
      <c r="I4" s="183">
        <f>Calculations!I4/10^6</f>
        <v>25.359734664000001</v>
      </c>
      <c r="J4" s="171"/>
      <c r="K4" s="172">
        <f>(I4/D4)^(1/5)-1</f>
        <v>-1.0000000000000009E-2</v>
      </c>
    </row>
    <row r="5" spans="3:12" s="1" customFormat="1" hidden="1">
      <c r="C5" s="180" t="s">
        <v>34</v>
      </c>
      <c r="D5" s="173"/>
      <c r="E5" s="172">
        <f>E4/D4-1</f>
        <v>-1.000000000000012E-2</v>
      </c>
      <c r="F5" s="172">
        <f>F4/E4-1</f>
        <v>-1.0000000000000009E-2</v>
      </c>
      <c r="G5" s="172">
        <f t="shared" ref="G5:I5" si="0">G4/F4-1</f>
        <v>-1.0000000000000009E-2</v>
      </c>
      <c r="H5" s="172">
        <f t="shared" si="0"/>
        <v>-9.9999999999998979E-3</v>
      </c>
      <c r="I5" s="181">
        <f t="shared" si="0"/>
        <v>-1.000000000000012E-2</v>
      </c>
      <c r="J5" s="174"/>
      <c r="K5" s="174"/>
    </row>
    <row r="6" spans="3:12">
      <c r="C6" s="179" t="s">
        <v>172</v>
      </c>
      <c r="D6" s="170">
        <f>Calculations!D6/10^6</f>
        <v>6.666666666666667</v>
      </c>
      <c r="E6" s="170">
        <f>Calculations!E6/10^6</f>
        <v>6.93</v>
      </c>
      <c r="F6" s="170">
        <f>Calculations!F6/10^6</f>
        <v>7.1874000000000011</v>
      </c>
      <c r="G6" s="170">
        <f>Calculations!G6/10^6</f>
        <v>7.4389589999999988</v>
      </c>
      <c r="H6" s="170">
        <f>Calculations!H6/10^6</f>
        <v>7.6847680800000004</v>
      </c>
      <c r="I6" s="183">
        <f>Calculations!I6/10^6</f>
        <v>7.9249170825000004</v>
      </c>
      <c r="J6" s="171"/>
      <c r="K6" s="172">
        <f>(I6/D6)^(1/5)-1</f>
        <v>3.518315706536046E-2</v>
      </c>
      <c r="L6" s="1"/>
    </row>
    <row r="7" spans="3:12" s="1" customFormat="1" hidden="1">
      <c r="C7" s="180" t="s">
        <v>34</v>
      </c>
      <c r="D7" s="172"/>
      <c r="E7" s="172">
        <f>E6/D6-1</f>
        <v>3.9499999999999869E-2</v>
      </c>
      <c r="F7" s="172">
        <f>F6/E6-1</f>
        <v>3.7142857142857366E-2</v>
      </c>
      <c r="G7" s="172">
        <f t="shared" ref="G7:I7" si="1">G6/F6-1</f>
        <v>3.4999999999999698E-2</v>
      </c>
      <c r="H7" s="172">
        <f t="shared" si="1"/>
        <v>3.304347826086973E-2</v>
      </c>
      <c r="I7" s="181">
        <f t="shared" si="1"/>
        <v>3.125E-2</v>
      </c>
      <c r="J7" s="174"/>
      <c r="K7" s="174"/>
    </row>
    <row r="8" spans="3:12" s="1" customFormat="1">
      <c r="C8" s="179" t="s">
        <v>219</v>
      </c>
      <c r="D8" s="170">
        <f>Calculations!D10/10^6</f>
        <v>3.4408602150537635</v>
      </c>
      <c r="E8" s="170">
        <f>Calculations!E10/10^6</f>
        <v>3.576774193548387</v>
      </c>
      <c r="F8" s="170">
        <f>Calculations!F10/10^6</f>
        <v>3.709625806451613</v>
      </c>
      <c r="G8" s="170">
        <f>Calculations!G10/10^6</f>
        <v>3.9020339535241924</v>
      </c>
      <c r="H8" s="170">
        <f>Calculations!H10/10^6</f>
        <v>4.136788744623523</v>
      </c>
      <c r="I8" s="183">
        <f>Calculations!I10/10^6</f>
        <v>4.4597406971147135</v>
      </c>
      <c r="J8" s="171"/>
      <c r="K8" s="172">
        <f>(I8/D8)^(1/5)-1</f>
        <v>5.3242840590310703E-2</v>
      </c>
    </row>
    <row r="9" spans="3:12" s="1" customFormat="1" hidden="1">
      <c r="C9" s="180" t="s">
        <v>34</v>
      </c>
      <c r="D9" s="172"/>
      <c r="E9" s="172">
        <f>E8/D8-1</f>
        <v>3.9499999999999869E-2</v>
      </c>
      <c r="F9" s="172">
        <f>F8/E8-1</f>
        <v>3.7142857142857144E-2</v>
      </c>
      <c r="G9" s="172">
        <f t="shared" ref="G9" si="2">G8/F8-1</f>
        <v>5.1867265624999659E-2</v>
      </c>
      <c r="H9" s="172">
        <f t="shared" ref="H9" si="3">H8/G8-1</f>
        <v>6.0162160015882815E-2</v>
      </c>
      <c r="I9" s="181">
        <f t="shared" ref="I9" si="4">I8/H8-1</f>
        <v>7.8068272862839017E-2</v>
      </c>
      <c r="J9" s="174"/>
      <c r="K9" s="174"/>
    </row>
    <row r="10" spans="3:12" s="1" customFormat="1">
      <c r="C10" s="179" t="s">
        <v>174</v>
      </c>
      <c r="D10" s="170">
        <f>Calculations!D12/10^6</f>
        <v>3.2000000000000006</v>
      </c>
      <c r="E10" s="170">
        <f>Calculations!E12/10^6</f>
        <v>3.3128086021505374</v>
      </c>
      <c r="F10" s="170">
        <f>Calculations!F12/10^6</f>
        <v>3.4366668387096775</v>
      </c>
      <c r="G10" s="170">
        <f>Calculations!G12/10^6</f>
        <v>3.6998920311219967</v>
      </c>
      <c r="H10" s="170">
        <f>Calculations!H12/10^6</f>
        <v>4.136788744623523</v>
      </c>
      <c r="I10" s="183">
        <f>Calculations!I12/10^6</f>
        <v>4.4597406971147135</v>
      </c>
      <c r="J10" s="174"/>
      <c r="K10" s="174"/>
    </row>
    <row r="11" spans="3:12" s="1" customFormat="1" hidden="1">
      <c r="C11" s="180" t="s">
        <v>34</v>
      </c>
      <c r="D11" s="172"/>
      <c r="E11" s="172"/>
      <c r="F11" s="172">
        <f>F10/E10-1</f>
        <v>3.7387682608266637E-2</v>
      </c>
      <c r="G11" s="172">
        <f t="shared" ref="G11" si="5">G10/F10-1</f>
        <v>7.659316563579055E-2</v>
      </c>
      <c r="H11" s="172">
        <f t="shared" ref="H11" si="6">H10/G10-1</f>
        <v>0.11808363861067495</v>
      </c>
      <c r="I11" s="181">
        <f t="shared" ref="I11" si="7">I10/H10-1</f>
        <v>7.8068272862839017E-2</v>
      </c>
      <c r="J11" s="174"/>
      <c r="K11" s="174"/>
    </row>
    <row r="12" spans="3:12" s="1" customFormat="1">
      <c r="C12" s="179" t="s">
        <v>175</v>
      </c>
      <c r="D12" s="170">
        <f>Calculations!D14/10^6</f>
        <v>3.2</v>
      </c>
      <c r="E12" s="175">
        <f>Calculations!E14/10^6</f>
        <v>3.3128086021505374</v>
      </c>
      <c r="F12" s="170">
        <f>Calculations!F14/10^6</f>
        <v>3.4366668387096775</v>
      </c>
      <c r="G12" s="170">
        <f>Calculations!G14/10^6</f>
        <v>3.6998920311219967</v>
      </c>
      <c r="H12" s="170">
        <f>Calculations!H14/10^6</f>
        <v>4.136788744623523</v>
      </c>
      <c r="I12" s="183">
        <f>Calculations!I14/10^6</f>
        <v>4.4597406971147135</v>
      </c>
      <c r="J12" s="171"/>
      <c r="K12" s="172">
        <f>(I12/D12)^(1/5)-1</f>
        <v>6.8641229983930963E-2</v>
      </c>
    </row>
    <row r="13" spans="3:12" s="1" customFormat="1" hidden="1">
      <c r="C13" s="180" t="s">
        <v>34</v>
      </c>
      <c r="D13" s="172"/>
      <c r="E13" s="172">
        <f>E12/D12-1</f>
        <v>3.5252688172042967E-2</v>
      </c>
      <c r="F13" s="172">
        <f>F12/E12-1</f>
        <v>3.7387682608266637E-2</v>
      </c>
      <c r="G13" s="172">
        <f t="shared" ref="G13" si="8">G12/F12-1</f>
        <v>7.659316563579055E-2</v>
      </c>
      <c r="H13" s="172">
        <f t="shared" ref="H13" si="9">H12/G12-1</f>
        <v>0.11808363861067495</v>
      </c>
      <c r="I13" s="181">
        <f>I12/H12-1</f>
        <v>7.8068272862839017E-2</v>
      </c>
      <c r="J13" s="174"/>
      <c r="K13" s="174"/>
    </row>
    <row r="14" spans="3:12" s="1" customFormat="1" hidden="1">
      <c r="C14" s="180" t="s">
        <v>125</v>
      </c>
      <c r="D14" s="173" t="str">
        <f>IF(Calculations!D13&lt;Calculations!D12,"YES","NO")</f>
        <v>NO</v>
      </c>
      <c r="E14" s="173" t="str">
        <f>IF(Calculations!E13&lt;Calculations!E12,"YES","NO")</f>
        <v>NO</v>
      </c>
      <c r="F14" s="173" t="str">
        <f>IF(Calculations!F13&lt;Calculations!F12,"YES","NO")</f>
        <v>NO</v>
      </c>
      <c r="G14" s="173" t="str">
        <f>IF(Calculations!G13&lt;Calculations!G12,"YES","NO")</f>
        <v>NO</v>
      </c>
      <c r="H14" s="173" t="str">
        <f>IF(Calculations!H13&lt;Calculations!H12,"YES","NO")</f>
        <v>NO</v>
      </c>
      <c r="I14" s="297" t="str">
        <f>IF(Calculations!I13&lt;Calculations!I12,"YES","NO")</f>
        <v>NO</v>
      </c>
      <c r="J14" s="174"/>
      <c r="K14" s="174"/>
    </row>
    <row r="15" spans="3:12" ht="13" thickBot="1">
      <c r="C15" s="179" t="s">
        <v>220</v>
      </c>
      <c r="D15" s="170">
        <f>Calculations!D18/10^6</f>
        <v>2.944</v>
      </c>
      <c r="E15" s="170">
        <f>Calculations!E18/10^6</f>
        <v>3.0352798279569893</v>
      </c>
      <c r="F15" s="170">
        <f>Calculations!F18/10^6</f>
        <v>3.1495111432258067</v>
      </c>
      <c r="G15" s="170">
        <f>Calculations!G18/10^6</f>
        <v>3.4244315822587486</v>
      </c>
      <c r="H15" s="170">
        <f>Calculations!H18/10^6</f>
        <v>3.9180978981573813</v>
      </c>
      <c r="I15" s="183">
        <f>Calculations!I18/10^6</f>
        <v>4.4055266397848607</v>
      </c>
      <c r="J15" s="171"/>
      <c r="K15" s="172">
        <f>(I15/D15)^(1/5)-1</f>
        <v>8.3956877449498535E-2</v>
      </c>
      <c r="L15" s="1"/>
    </row>
    <row r="16" spans="3:12" s="1" customFormat="1" ht="13" hidden="1" thickBot="1">
      <c r="C16" s="180" t="s">
        <v>34</v>
      </c>
      <c r="D16" s="172"/>
      <c r="E16" s="172">
        <f>E15/D15-1</f>
        <v>3.1005376344086066E-2</v>
      </c>
      <c r="F16" s="172">
        <f>F15/E15-1</f>
        <v>3.7634525231139859E-2</v>
      </c>
      <c r="G16" s="172">
        <f t="shared" ref="G16:I16" si="10">G15/F15-1</f>
        <v>8.7289876596963412E-2</v>
      </c>
      <c r="H16" s="172">
        <f t="shared" si="10"/>
        <v>0.14416007563305189</v>
      </c>
      <c r="I16" s="181">
        <f t="shared" si="10"/>
        <v>0.1244044315117061</v>
      </c>
      <c r="J16" s="174"/>
      <c r="K16" s="174"/>
    </row>
    <row r="17" spans="3:20" ht="13" thickBot="1">
      <c r="C17" s="182" t="s">
        <v>221</v>
      </c>
      <c r="D17" s="184">
        <f>Calculations!D22/10^6</f>
        <v>2.56</v>
      </c>
      <c r="E17" s="184">
        <f>Calculations!E22/10^6</f>
        <v>2.652570632258064</v>
      </c>
      <c r="F17" s="184">
        <f>Calculations!F22/10^6</f>
        <v>2.7660923953548391</v>
      </c>
      <c r="G17" s="184">
        <f>Calculations!G22/10^6</f>
        <v>3.0413516343037896</v>
      </c>
      <c r="H17" s="184">
        <f>Calculations!H22/10^6</f>
        <v>3.5467192453269694</v>
      </c>
      <c r="I17" s="293">
        <f>Calculations!I22/10^6</f>
        <v>4.1450449030328009</v>
      </c>
      <c r="J17" s="171"/>
      <c r="K17" s="172">
        <f>(I17/D17)^(1/5)-1</f>
        <v>0.10117883330379973</v>
      </c>
      <c r="L17" s="1"/>
    </row>
    <row r="18" spans="3:20" s="1" customFormat="1" hidden="1">
      <c r="C18" s="166" t="s">
        <v>34</v>
      </c>
      <c r="D18" s="167"/>
      <c r="E18" s="168">
        <f>E17/D17-1</f>
        <v>3.616040322580627E-2</v>
      </c>
      <c r="F18" s="168">
        <f>F17/E17-1</f>
        <v>4.2796886053185768E-2</v>
      </c>
      <c r="G18" s="165">
        <f t="shared" ref="G18:I18" si="11">G17/F17-1</f>
        <v>9.951194667654617E-2</v>
      </c>
      <c r="H18" s="165">
        <f t="shared" si="11"/>
        <v>0.16616546581561775</v>
      </c>
      <c r="I18" s="165">
        <f t="shared" si="11"/>
        <v>0.16869834241719706</v>
      </c>
      <c r="J18" s="161"/>
      <c r="K18" s="169"/>
      <c r="L18" s="169"/>
    </row>
    <row r="19" spans="3:20" s="1" customFormat="1" ht="3.5" customHeight="1">
      <c r="C19" s="161"/>
      <c r="D19" s="161"/>
      <c r="E19" s="161"/>
      <c r="F19" s="161"/>
      <c r="G19" s="161"/>
      <c r="H19" s="161"/>
      <c r="I19" s="161"/>
      <c r="J19" s="161"/>
      <c r="K19" s="161"/>
      <c r="L19" s="161"/>
    </row>
    <row r="20" spans="3:20" s="1" customFormat="1" ht="6" customHeight="1" thickBot="1">
      <c r="C20" s="161"/>
      <c r="D20" s="161"/>
      <c r="E20" s="161"/>
      <c r="F20" s="161"/>
      <c r="G20" s="161"/>
      <c r="H20" s="161"/>
      <c r="I20" s="161"/>
      <c r="J20" s="161"/>
      <c r="K20" s="161"/>
      <c r="L20" s="161"/>
    </row>
    <row r="21" spans="3:20" s="1" customFormat="1" ht="13" thickBot="1">
      <c r="C21" s="185" t="s">
        <v>126</v>
      </c>
      <c r="D21" s="186">
        <v>2015</v>
      </c>
      <c r="E21" s="186">
        <v>2016</v>
      </c>
      <c r="F21" s="186">
        <v>2017</v>
      </c>
      <c r="G21" s="186">
        <v>2018</v>
      </c>
      <c r="H21" s="186">
        <v>2019</v>
      </c>
      <c r="I21" s="187">
        <v>2020</v>
      </c>
      <c r="J21" s="161"/>
      <c r="K21" s="162" t="s">
        <v>9</v>
      </c>
      <c r="L21" s="188" t="s">
        <v>202</v>
      </c>
    </row>
    <row r="22" spans="3:20" s="1" customFormat="1" ht="13" thickBot="1">
      <c r="C22" s="179" t="s">
        <v>123</v>
      </c>
      <c r="D22" s="189">
        <f>D24*'Detailed Assumptions'!$I$27</f>
        <v>168</v>
      </c>
      <c r="E22" s="189">
        <f>E24*'Detailed Assumptions'!$I$27</f>
        <v>168.98078260869568</v>
      </c>
      <c r="F22" s="189">
        <f>F24*'Detailed Assumptions'!$I$27</f>
        <v>169.59865217391305</v>
      </c>
      <c r="G22" s="189">
        <f>G24*'Detailed Assumptions'!$I$27</f>
        <v>171.60374397840604</v>
      </c>
      <c r="H22" s="189">
        <f>H24*'Detailed Assumptions'!$I$27</f>
        <v>174.18667751690546</v>
      </c>
      <c r="I22" s="190">
        <f>I24*'Detailed Assumptions'!$I$27</f>
        <v>177.81718068601347</v>
      </c>
      <c r="J22" s="174"/>
      <c r="K22" s="172">
        <f>(I22/D22)^(1/5)-1</f>
        <v>1.1423145136291391E-2</v>
      </c>
      <c r="L22" s="294">
        <f>I22/D22-1</f>
        <v>5.8435599321508658E-2</v>
      </c>
    </row>
    <row r="23" spans="3:20" s="1" customFormat="1" hidden="1">
      <c r="C23" s="180" t="s">
        <v>34</v>
      </c>
      <c r="D23" s="191"/>
      <c r="E23" s="191">
        <f>E22/D22-1</f>
        <v>5.8379917184265828E-3</v>
      </c>
      <c r="F23" s="191">
        <f>F22/E22-1</f>
        <v>3.6564487137460411E-3</v>
      </c>
      <c r="G23" s="191">
        <f t="shared" ref="G23" si="12">G22/F22-1</f>
        <v>1.1822569217336154E-2</v>
      </c>
      <c r="H23" s="191">
        <f t="shared" ref="H23" si="13">H22/G22-1</f>
        <v>1.5051731848137573E-2</v>
      </c>
      <c r="I23" s="192">
        <f t="shared" ref="I23" si="14">I22/H22-1</f>
        <v>2.0842599565375153E-2</v>
      </c>
      <c r="J23" s="174"/>
      <c r="K23" s="174"/>
      <c r="L23" s="177"/>
    </row>
    <row r="24" spans="3:20">
      <c r="C24" s="179" t="s">
        <v>47</v>
      </c>
      <c r="D24" s="189">
        <f>Calculations!D29</f>
        <v>193.20000000000002</v>
      </c>
      <c r="E24" s="189">
        <f>Calculations!E29</f>
        <v>194.32790000000003</v>
      </c>
      <c r="F24" s="189">
        <f>Calculations!F29</f>
        <v>195.03845000000001</v>
      </c>
      <c r="G24" s="189">
        <f>Calculations!G29</f>
        <v>197.34430557516694</v>
      </c>
      <c r="H24" s="189">
        <f>Calculations!H29</f>
        <v>200.31467914444127</v>
      </c>
      <c r="I24" s="190">
        <f>Calculations!I29</f>
        <v>204.48975778891548</v>
      </c>
      <c r="J24" s="174"/>
      <c r="K24" s="172">
        <f>(I24/D24)^(1/5)-1</f>
        <v>1.1423145136291391E-2</v>
      </c>
      <c r="L24" s="176">
        <f>I24/D24-1</f>
        <v>5.8435599321508658E-2</v>
      </c>
    </row>
    <row r="25" spans="3:20" hidden="1">
      <c r="C25" s="180" t="s">
        <v>34</v>
      </c>
      <c r="D25" s="191"/>
      <c r="E25" s="191">
        <f>E24/D24-1</f>
        <v>5.8379917184265828E-3</v>
      </c>
      <c r="F25" s="191">
        <f>F24/E24-1</f>
        <v>3.6564487137460411E-3</v>
      </c>
      <c r="G25" s="191">
        <f t="shared" ref="G25" si="15">G24/F24-1</f>
        <v>1.1822569217335932E-2</v>
      </c>
      <c r="H25" s="191">
        <f t="shared" ref="H25" si="16">H24/G24-1</f>
        <v>1.5051731848137573E-2</v>
      </c>
      <c r="I25" s="192">
        <f t="shared" ref="I25" si="17">I24/H24-1</f>
        <v>2.0842599565375153E-2</v>
      </c>
      <c r="J25" s="174"/>
      <c r="K25" s="174"/>
      <c r="L25" s="177"/>
    </row>
    <row r="26" spans="3:20" ht="13" thickBot="1">
      <c r="C26" s="182" t="s">
        <v>48</v>
      </c>
      <c r="D26" s="193">
        <f>D24*D17</f>
        <v>494.59200000000004</v>
      </c>
      <c r="E26" s="193">
        <f t="shared" ref="E26:I26" si="18">E24*E17</f>
        <v>515.46848056838189</v>
      </c>
      <c r="F26" s="193">
        <f t="shared" si="18"/>
        <v>539.4943733467951</v>
      </c>
      <c r="G26" s="193">
        <f t="shared" si="18"/>
        <v>600.1934262815804</v>
      </c>
      <c r="H26" s="193">
        <f t="shared" si="18"/>
        <v>710.45992764308676</v>
      </c>
      <c r="I26" s="194">
        <f t="shared" si="18"/>
        <v>847.61922824535611</v>
      </c>
      <c r="J26" s="174"/>
      <c r="K26" s="172">
        <f>(I26/D26)^(1/5)-1</f>
        <v>0.11375775893764106</v>
      </c>
      <c r="L26" s="178">
        <f>I26/D26-1</f>
        <v>0.7137746430297216</v>
      </c>
    </row>
    <row r="27" spans="3:20" ht="13" hidden="1" thickBot="1">
      <c r="C27" s="107" t="s">
        <v>34</v>
      </c>
      <c r="D27" s="108"/>
      <c r="E27" s="163">
        <f>E26/D26-1</f>
        <v>4.2209499078800006E-2</v>
      </c>
      <c r="F27" s="163">
        <f>F26/E26-1</f>
        <v>4.6609819385893481E-2</v>
      </c>
      <c r="G27" s="164">
        <f t="shared" ref="G27" si="19">G26/F26-1</f>
        <v>0.11251100277141735</v>
      </c>
      <c r="H27" s="164">
        <f t="shared" ref="H27" si="20">H26/G26-1</f>
        <v>0.18371827569763299</v>
      </c>
      <c r="I27" s="110">
        <f t="shared" ref="I27" si="21">I26/H26-1</f>
        <v>0.19305705398091644</v>
      </c>
      <c r="K27" s="111"/>
      <c r="L27" s="112"/>
    </row>
    <row r="31" spans="3:20" ht="13" thickBot="1"/>
    <row r="32" spans="3:20" ht="50" customHeight="1" thickBot="1">
      <c r="C32" s="315" t="s">
        <v>229</v>
      </c>
      <c r="D32" s="316"/>
      <c r="E32" s="316"/>
      <c r="F32" s="316"/>
      <c r="G32" s="316"/>
      <c r="H32" s="316"/>
      <c r="I32" s="317"/>
      <c r="N32" s="315" t="s">
        <v>228</v>
      </c>
      <c r="O32" s="316"/>
      <c r="P32" s="316"/>
      <c r="Q32" s="316"/>
      <c r="R32" s="316"/>
      <c r="S32" s="316"/>
      <c r="T32" s="317"/>
    </row>
    <row r="56" spans="3:3">
      <c r="C56" s="1">
        <f>C46</f>
        <v>0</v>
      </c>
    </row>
  </sheetData>
  <mergeCells count="2">
    <mergeCell ref="N32:T32"/>
    <mergeCell ref="C32:I32"/>
  </mergeCells>
  <conditionalFormatting sqref="D14:I14">
    <cfRule type="cellIs" dxfId="4" priority="1" operator="equal">
      <formula>"YES"</formula>
    </cfRule>
  </conditionalFormatting>
  <pageMargins left="0.2361111111111111" right="0.2361111111111111" top="0.75" bottom="0.75" header="0.31944444444444442" footer="0.31944444444444442"/>
  <pageSetup orientation="landscape"/>
  <headerFooter>
    <oddFooter>&amp;CPage &amp;P of &amp;N</oddFooter>
  </headerFooter>
  <customProperties>
    <customPr name="SheetId" r:id="rId1"/>
  </customPropertie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1"/>
  </sheetPr>
  <dimension ref="A1"/>
  <sheetViews>
    <sheetView workbookViewId="0">
      <selection activeCell="G29" sqref="G29"/>
    </sheetView>
  </sheetViews>
  <sheetFormatPr baseColWidth="10" defaultColWidth="9.1640625" defaultRowHeight="12" x14ac:dyDescent="0"/>
  <cols>
    <col min="1" max="16384" width="9.1640625" style="81"/>
  </cols>
  <sheetData/>
  <pageMargins left="0.2361111111111111" right="0.2361111111111111" top="0.75" bottom="0.75" header="0.31944444444444442" footer="0.31944444444444442"/>
  <pageSetup orientation="landscape"/>
  <headerFooter>
    <oddFooter>&amp;CPage &amp;P of &amp;N</oddFooter>
  </headerFooter>
  <customProperties>
    <customPr name="SheetId" r:id="rId1"/>
  </customPropertie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dex" enableFormatConditionsCalculation="0">
    <tabColor rgb="FFFFFF00"/>
    <pageSetUpPr fitToPage="1"/>
  </sheetPr>
  <dimension ref="A1:K28"/>
  <sheetViews>
    <sheetView showGridLines="0" showRowColHeaders="0" workbookViewId="0">
      <selection activeCell="G29" sqref="G29"/>
    </sheetView>
  </sheetViews>
  <sheetFormatPr baseColWidth="10" defaultColWidth="0" defaultRowHeight="12" zeroHeight="1" x14ac:dyDescent="0"/>
  <cols>
    <col min="1" max="2" width="1.5" style="1" customWidth="1"/>
    <col min="3" max="3" width="25.6640625" style="1" customWidth="1"/>
    <col min="4" max="4" width="57.1640625" style="1" customWidth="1"/>
    <col min="5" max="5" width="19.33203125" style="1" customWidth="1"/>
    <col min="6" max="7" width="1.5" style="1" customWidth="1"/>
    <col min="8" max="8" width="9.1640625" style="1" hidden="1" customWidth="1"/>
    <col min="9" max="9" width="17.33203125" style="1" hidden="1" customWidth="1"/>
    <col min="10" max="11" width="0" style="1" hidden="1" customWidth="1"/>
    <col min="12" max="16384" width="9.1640625" style="1" hidden="1"/>
  </cols>
  <sheetData>
    <row r="1" spans="2:9" s="29" customFormat="1" ht="9"/>
    <row r="2" spans="2:9" ht="21" customHeight="1">
      <c r="B2" s="16"/>
      <c r="C2" s="17"/>
      <c r="D2" s="17"/>
      <c r="E2" s="17"/>
      <c r="F2" s="18"/>
      <c r="I2" s="1" t="s">
        <v>3</v>
      </c>
    </row>
    <row r="3" spans="2:9" ht="21" customHeight="1">
      <c r="B3" s="19"/>
      <c r="C3" s="20"/>
      <c r="D3" s="20"/>
      <c r="E3" s="31"/>
      <c r="F3" s="21"/>
      <c r="I3" s="1" t="s">
        <v>4</v>
      </c>
    </row>
    <row r="4" spans="2:9" ht="21" customHeight="1">
      <c r="B4" s="19"/>
      <c r="C4" s="20"/>
      <c r="D4" s="20"/>
      <c r="E4" s="20"/>
      <c r="F4" s="21"/>
      <c r="I4" s="1" t="s">
        <v>5</v>
      </c>
    </row>
    <row r="5" spans="2:9" s="28" customFormat="1" ht="4">
      <c r="B5" s="25"/>
      <c r="C5" s="26"/>
      <c r="D5" s="26"/>
      <c r="E5" s="26"/>
      <c r="F5" s="27"/>
      <c r="I5" s="28" t="s">
        <v>6</v>
      </c>
    </row>
    <row r="6" spans="2:9">
      <c r="B6" s="2"/>
      <c r="C6" s="3"/>
      <c r="D6" s="3"/>
      <c r="E6" s="3"/>
      <c r="F6" s="4"/>
      <c r="I6" s="1" t="s">
        <v>7</v>
      </c>
    </row>
    <row r="7" spans="2:9">
      <c r="B7" s="2"/>
      <c r="C7" s="311" t="s">
        <v>76</v>
      </c>
      <c r="D7" s="311"/>
      <c r="E7" s="311"/>
      <c r="F7" s="7"/>
    </row>
    <row r="8" spans="2:9">
      <c r="B8" s="2"/>
      <c r="C8" s="312" t="s">
        <v>222</v>
      </c>
      <c r="D8" s="312"/>
      <c r="E8" s="312"/>
      <c r="F8" s="8"/>
    </row>
    <row r="9" spans="2:9">
      <c r="B9" s="2"/>
      <c r="C9" s="3"/>
      <c r="D9" s="3"/>
      <c r="E9" s="3"/>
      <c r="F9" s="4"/>
    </row>
    <row r="10" spans="2:9" ht="66.75" customHeight="1">
      <c r="B10" s="2"/>
      <c r="C10" s="310" t="s">
        <v>77</v>
      </c>
      <c r="D10" s="310"/>
      <c r="E10" s="310"/>
      <c r="F10" s="9"/>
    </row>
    <row r="11" spans="2:9">
      <c r="B11" s="2"/>
      <c r="C11" s="3"/>
      <c r="D11" s="3"/>
      <c r="E11" s="3"/>
      <c r="F11" s="4"/>
    </row>
    <row r="12" spans="2:9" ht="15" customHeight="1">
      <c r="B12" s="2"/>
      <c r="C12" s="5" t="s">
        <v>0</v>
      </c>
      <c r="D12" s="5" t="s">
        <v>1</v>
      </c>
      <c r="E12" s="12" t="s">
        <v>2</v>
      </c>
      <c r="F12" s="10"/>
    </row>
    <row r="13" spans="2:9" ht="15" customHeight="1">
      <c r="B13" s="14" t="s">
        <v>186</v>
      </c>
      <c r="C13" s="115" t="s">
        <v>189</v>
      </c>
      <c r="D13" s="22"/>
      <c r="E13" s="23" t="s">
        <v>5</v>
      </c>
      <c r="F13" s="4"/>
    </row>
    <row r="14" spans="2:9" ht="15" customHeight="1">
      <c r="B14" s="14" t="s">
        <v>30</v>
      </c>
      <c r="C14" s="158" t="s">
        <v>201</v>
      </c>
      <c r="D14" s="22" t="s">
        <v>71</v>
      </c>
      <c r="E14" s="23" t="s">
        <v>7</v>
      </c>
      <c r="F14" s="4"/>
    </row>
    <row r="15" spans="2:9" ht="15" customHeight="1">
      <c r="B15" s="14" t="s">
        <v>128</v>
      </c>
      <c r="C15" s="116" t="s">
        <v>187</v>
      </c>
      <c r="D15" s="22"/>
      <c r="E15" s="23"/>
      <c r="F15" s="4"/>
    </row>
    <row r="16" spans="2:9" ht="15" customHeight="1">
      <c r="B16" s="14" t="s">
        <v>10</v>
      </c>
      <c r="C16" s="32" t="s">
        <v>188</v>
      </c>
      <c r="D16" s="22" t="s">
        <v>72</v>
      </c>
      <c r="E16" s="23" t="s">
        <v>5</v>
      </c>
      <c r="F16" s="4"/>
    </row>
    <row r="17" spans="2:6" ht="15" customHeight="1">
      <c r="B17" s="14" t="s">
        <v>67</v>
      </c>
      <c r="C17" s="32" t="s">
        <v>68</v>
      </c>
      <c r="D17" s="22" t="s">
        <v>73</v>
      </c>
      <c r="E17" s="23" t="s">
        <v>5</v>
      </c>
      <c r="F17" s="4"/>
    </row>
    <row r="18" spans="2:6" ht="15" customHeight="1">
      <c r="B18" s="14" t="s">
        <v>8</v>
      </c>
      <c r="C18" s="78" t="s">
        <v>31</v>
      </c>
      <c r="D18" s="22" t="s">
        <v>74</v>
      </c>
      <c r="E18" s="23" t="s">
        <v>6</v>
      </c>
      <c r="F18" s="4"/>
    </row>
    <row r="19" spans="2:6" ht="15" customHeight="1">
      <c r="B19" s="14" t="s">
        <v>69</v>
      </c>
      <c r="C19" s="79" t="s">
        <v>70</v>
      </c>
      <c r="D19" s="22" t="s">
        <v>75</v>
      </c>
      <c r="E19" s="23" t="s">
        <v>6</v>
      </c>
      <c r="F19" s="4"/>
    </row>
    <row r="20" spans="2:6" ht="15" customHeight="1">
      <c r="B20" s="14" t="s">
        <v>178</v>
      </c>
      <c r="C20" s="158" t="s">
        <v>179</v>
      </c>
      <c r="D20" s="22"/>
      <c r="E20" s="23" t="s">
        <v>7</v>
      </c>
      <c r="F20" s="4"/>
    </row>
    <row r="21" spans="2:6" ht="15" customHeight="1">
      <c r="B21" s="14"/>
      <c r="C21" s="24"/>
      <c r="D21" s="22"/>
      <c r="E21" s="23"/>
      <c r="F21" s="4"/>
    </row>
    <row r="22" spans="2:6" ht="15" customHeight="1">
      <c r="B22" s="14"/>
      <c r="C22" s="24"/>
      <c r="D22" s="22"/>
      <c r="E22" s="23"/>
      <c r="F22" s="4"/>
    </row>
    <row r="23" spans="2:6" ht="15" customHeight="1">
      <c r="B23" s="14"/>
      <c r="C23" s="24"/>
      <c r="D23" s="22"/>
      <c r="E23" s="23"/>
      <c r="F23" s="4"/>
    </row>
    <row r="24" spans="2:6" ht="15" customHeight="1">
      <c r="B24" s="15"/>
      <c r="C24" s="13"/>
      <c r="D24" s="11"/>
      <c r="E24" s="11"/>
      <c r="F24" s="6"/>
    </row>
    <row r="25" spans="2:6" s="30" customFormat="1" ht="9"/>
    <row r="26" spans="2:6" hidden="1"/>
    <row r="27" spans="2:6" hidden="1"/>
    <row r="28" spans="2:6" hidden="1"/>
  </sheetData>
  <mergeCells count="3">
    <mergeCell ref="C10:E10"/>
    <mergeCell ref="C7:E7"/>
    <mergeCell ref="C8:E8"/>
  </mergeCells>
  <conditionalFormatting sqref="E13:E24">
    <cfRule type="cellIs" dxfId="3" priority="1" operator="equal">
      <formula>"Calculation"</formula>
    </cfRule>
    <cfRule type="cellIs" dxfId="2" priority="2" operator="equal">
      <formula>"Output"</formula>
    </cfRule>
    <cfRule type="cellIs" dxfId="1" priority="4" operator="equal">
      <formula>"Input: Assumptions"</formula>
    </cfRule>
    <cfRule type="cellIs" dxfId="0" priority="5" operator="equal">
      <formula>"Input: Facts"</formula>
    </cfRule>
  </conditionalFormatting>
  <dataValidations count="1">
    <dataValidation type="list" allowBlank="1" showInputMessage="1" showErrorMessage="1" promptTitle="Sheet Type" prompt="Select the type of data stored on this sheet. It is good practice to keep your fact inputs (e.g. last year's P&amp;L), assumption inputs (e.g. growth rate FC), calculations and outputs on different sheets. Helps you to understand the model's logic." sqref="E13:F24">
      <formula1>$I$3:$I$6</formula1>
    </dataValidation>
  </dataValidations>
  <hyperlinks>
    <hyperlink ref="C13" location="'FOR USE - ASSUMPTIONS'!A1" tooltip="Jump to sheet" display="'FOR USE - ASSUMPTIONS'!A1"/>
    <hyperlink ref="C14" location="'OUTPUT'!A1" tooltip="Jump to sheet" display="'OUTPUT'!A1"/>
    <hyperlink ref="C15" location="'DO NOT USE &gt;&gt;&gt;'!A1" tooltip="Jump to sheet" display="'DO NOT USE &gt;&gt;&gt;'!A1"/>
    <hyperlink ref="C16" location="'Detailed Assumptions'!A1" tooltip="Jump to sheet" display="'Detailed Assumptions'!A1"/>
    <hyperlink ref="C17" location="'Saved scenarios'!A1" tooltip="Jump to sheet" display="'Saved scenarios'!A1"/>
    <hyperlink ref="C18" location="'Calculations'!A1" tooltip="Jump to sheet" display="'Calculations'!A1"/>
    <hyperlink ref="C19" location="'Assumption calculations'!A1" tooltip="Jump to sheet" display="'Assumption calculations'!A1"/>
    <hyperlink ref="C20" location="'Slide output'!A1" tooltip="Jump to sheet" display="'Slide output'!A1"/>
  </hyperlinks>
  <printOptions horizontalCentered="1"/>
  <pageMargins left="0.23622047244094491" right="0.23622047244094491" top="0.74803149606299213" bottom="0.74803149606299213" header="0.31496062992125984" footer="0.31496062992125984"/>
  <pageSetup paperSize="9" scale="94" orientation="portrait"/>
  <customProperties>
    <customPr name="SheetId" r:id="rId1"/>
  </customPropertie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91BF"/>
  </sheetPr>
  <dimension ref="C2:N96"/>
  <sheetViews>
    <sheetView showGridLines="0" topLeftCell="A24" zoomScale="85" zoomScaleNormal="85" zoomScalePageLayoutView="85" workbookViewId="0">
      <selection activeCell="G29" sqref="G29"/>
    </sheetView>
  </sheetViews>
  <sheetFormatPr baseColWidth="10" defaultColWidth="9.1640625" defaultRowHeight="12" x14ac:dyDescent="0"/>
  <cols>
    <col min="1" max="2" width="9.1640625" style="159"/>
    <col min="3" max="3" width="44.5" style="159" customWidth="1"/>
    <col min="4" max="4" width="30.33203125" style="159" customWidth="1"/>
    <col min="5" max="5" width="27.1640625" style="159" bestFit="1" customWidth="1"/>
    <col min="6" max="6" width="24.1640625" style="159" bestFit="1" customWidth="1"/>
    <col min="7" max="7" width="21.5" style="159" bestFit="1" customWidth="1"/>
    <col min="8" max="8" width="26.5" style="159" bestFit="1" customWidth="1"/>
    <col min="9" max="9" width="34.6640625" style="159" bestFit="1" customWidth="1"/>
    <col min="10" max="10" width="26.83203125" style="159" customWidth="1"/>
    <col min="11" max="16384" width="9.1640625" style="159"/>
  </cols>
  <sheetData>
    <row r="2" spans="3:9" s="196" customFormat="1">
      <c r="C2" s="195" t="s">
        <v>66</v>
      </c>
    </row>
    <row r="3" spans="3:9" ht="13" thickBot="1"/>
    <row r="4" spans="3:9" ht="13" thickBot="1">
      <c r="C4" s="197" t="s">
        <v>136</v>
      </c>
      <c r="D4" s="198" t="s">
        <v>23</v>
      </c>
      <c r="E4" s="199" t="s">
        <v>180</v>
      </c>
    </row>
    <row r="5" spans="3:9" ht="13" thickBot="1">
      <c r="C5" s="200" t="s">
        <v>139</v>
      </c>
      <c r="D5" s="198" t="str">
        <f>INPUT!K6</f>
        <v>Real World</v>
      </c>
      <c r="E5" s="199"/>
    </row>
    <row r="6" spans="3:9" s="161" customFormat="1" ht="13" thickBot="1">
      <c r="C6" s="201" t="s">
        <v>138</v>
      </c>
      <c r="D6" s="202" t="str">
        <f>INPUT!U6</f>
        <v>Base Case</v>
      </c>
      <c r="E6" s="199"/>
    </row>
    <row r="7" spans="3:9" s="161" customFormat="1" ht="13" thickBot="1">
      <c r="C7" s="203" t="s">
        <v>149</v>
      </c>
      <c r="D7" s="204" t="s">
        <v>143</v>
      </c>
      <c r="E7" s="199" t="s">
        <v>180</v>
      </c>
    </row>
    <row r="9" spans="3:9">
      <c r="C9" s="205" t="s">
        <v>45</v>
      </c>
      <c r="D9" s="199"/>
    </row>
    <row r="10" spans="3:9">
      <c r="C10" s="206" t="s">
        <v>61</v>
      </c>
      <c r="D10" s="207">
        <v>2016</v>
      </c>
      <c r="E10" s="207">
        <v>2017</v>
      </c>
      <c r="F10" s="207">
        <v>2018</v>
      </c>
      <c r="G10" s="207">
        <v>2019</v>
      </c>
      <c r="H10" s="207">
        <v>2020</v>
      </c>
      <c r="I10" s="199" t="s">
        <v>107</v>
      </c>
    </row>
    <row r="11" spans="3:9">
      <c r="C11" s="208" t="s">
        <v>11</v>
      </c>
      <c r="D11" s="209">
        <f>IF(INDEX(INPUT!$T$10:$X$16,MATCH('Detailed Assumptions'!$C11,INPUT!$T$10:$T$16,0),MATCH('Detailed Assumptions'!$D$6,INPUT!$T$10:$X$10,0))="On",IF($D$5=INPUT!$J$10,INPUT!K12,IF($D$5=INPUT!$J$19,INPUT!K21,IF($D$5=INPUT!$J$28,INPUT!K30,"N/A"))),0%)</f>
        <v>0</v>
      </c>
      <c r="E11" s="209">
        <f>IF(INDEX(INPUT!$T$10:$X$16,MATCH('Detailed Assumptions'!$C11,INPUT!$T$10:$T$16,0),MATCH('Detailed Assumptions'!$D$6,INPUT!$T$10:$X$10,0))="On",IF($D$5=INPUT!$J$10,INPUT!L12,IF($D$5=INPUT!$J$19,INPUT!L21,IF($D$5=INPUT!$J$28,INPUT!L30,"N/A"))),0%)</f>
        <v>0</v>
      </c>
      <c r="F11" s="209">
        <f>IF(INDEX(INPUT!$T$10:$X$16,MATCH('Detailed Assumptions'!$C11,INPUT!$T$10:$T$16,0),MATCH('Detailed Assumptions'!$D$6,INPUT!$T$10:$X$10,0))="On",IF($D$5=INPUT!$J$10,INPUT!M12,IF($D$5=INPUT!$J$19,INPUT!M21,IF($D$5=INPUT!$J$28,INPUT!M30,"N/A"))),0%)</f>
        <v>0.05</v>
      </c>
      <c r="G11" s="209">
        <f>IF(INDEX(INPUT!$T$10:$X$16,MATCH('Detailed Assumptions'!$C11,INPUT!$T$10:$T$16,0),MATCH('Detailed Assumptions'!$D$6,INPUT!$T$10:$X$10,0))="On",IF($D$5=INPUT!$J$10,INPUT!N12,IF($D$5=INPUT!$J$19,INPUT!N21,IF($D$5=INPUT!$J$28,INPUT!N30,"N/A"))),0%)</f>
        <v>0.1</v>
      </c>
      <c r="H11" s="209">
        <f>IF(INDEX(INPUT!$T$10:$X$16,MATCH('Detailed Assumptions'!$C11,INPUT!$T$10:$T$16,0),MATCH('Detailed Assumptions'!$D$6,INPUT!$T$10:$X$10,0))="On",IF($D$5=INPUT!$J$10,INPUT!O12,IF($D$5=INPUT!$J$19,INPUT!O21,IF($D$5=INPUT!$J$28,INPUT!O30,"N/A"))),0%)</f>
        <v>0.15</v>
      </c>
      <c r="I11" s="199" t="s">
        <v>200</v>
      </c>
    </row>
    <row r="12" spans="3:9">
      <c r="C12" s="208" t="s">
        <v>12</v>
      </c>
      <c r="D12" s="209">
        <f>IF(INDEX(INPUT!$T$10:$X$16,MATCH('Detailed Assumptions'!$C12,INPUT!$T$10:$T$16,0),MATCH('Detailed Assumptions'!$D$6,INPUT!$T$10:$X$10,0))="On",IF($D$5=INPUT!$J$10,INPUT!K13,IF($D$5=INPUT!$J$19,INPUT!K22,IF($D$5=INPUT!$J$28,INPUT!K31,"N/A"))),0%)</f>
        <v>0</v>
      </c>
      <c r="E12" s="209">
        <f>IF(INDEX(INPUT!$T$10:$X$16,MATCH('Detailed Assumptions'!$C12,INPUT!$T$10:$T$16,0),MATCH('Detailed Assumptions'!$D$6,INPUT!$T$10:$X$10,0))="On",IF($D$5=INPUT!$J$10,INPUT!L13,IF($D$5=INPUT!$J$19,INPUT!L22,IF($D$5=INPUT!$J$28,INPUT!L31,"N/A"))),0%)</f>
        <v>0</v>
      </c>
      <c r="F12" s="209">
        <f>IF(INDEX(INPUT!$T$10:$X$16,MATCH('Detailed Assumptions'!$C12,INPUT!$T$10:$T$16,0),MATCH('Detailed Assumptions'!$D$6,INPUT!$T$10:$X$10,0))="On",IF($D$5=INPUT!$J$10,INPUT!M13,IF($D$5=INPUT!$J$19,INPUT!M22,IF($D$5=INPUT!$J$28,INPUT!M31,"N/A"))),0%)</f>
        <v>0</v>
      </c>
      <c r="G12" s="209">
        <f>IF(INDEX(INPUT!$T$10:$X$16,MATCH('Detailed Assumptions'!$C12,INPUT!$T$10:$T$16,0),MATCH('Detailed Assumptions'!$D$6,INPUT!$T$10:$X$10,0))="On",IF($D$5=INPUT!$J$10,INPUT!N13,IF($D$5=INPUT!$J$19,INPUT!N22,IF($D$5=INPUT!$J$28,INPUT!N31,"N/A"))),0%)</f>
        <v>0.05</v>
      </c>
      <c r="H12" s="209">
        <f>IF(INDEX(INPUT!$T$10:$X$16,MATCH('Detailed Assumptions'!$C12,INPUT!$T$10:$T$16,0),MATCH('Detailed Assumptions'!$D$6,INPUT!$T$10:$X$10,0))="On",IF($D$5=INPUT!$J$10,INPUT!O13,IF($D$5=INPUT!$J$19,INPUT!O22,IF($D$5=INPUT!$J$28,INPUT!O31,"N/A"))),0%)</f>
        <v>0.2</v>
      </c>
    </row>
    <row r="13" spans="3:9">
      <c r="C13" s="208" t="s">
        <v>135</v>
      </c>
      <c r="D13" s="209">
        <f>IF(INDEX(INPUT!$T$10:$X$16,MATCH('Detailed Assumptions'!$C13,INPUT!$T$10:$T$16,0),MATCH('Detailed Assumptions'!$D$6,INPUT!$T$10:$X$10,0))="On",IF($D$5=INPUT!$J$10,INPUT!K14,IF($D$5=INPUT!$J$19,INPUT!K23,IF($D$5=INPUT!$J$28,INPUT!K32,"N/A"))),0%)</f>
        <v>0.05</v>
      </c>
      <c r="E13" s="209">
        <f>IF(INDEX(INPUT!$T$10:$X$16,MATCH('Detailed Assumptions'!$C13,INPUT!$T$10:$T$16,0),MATCH('Detailed Assumptions'!$D$6,INPUT!$T$10:$X$10,0))="On",IF($D$5=INPUT!$J$10,INPUT!L14,IF($D$5=INPUT!$J$19,INPUT!L23,IF($D$5=INPUT!$J$28,INPUT!L32,"N/A"))),0%)</f>
        <v>0.1</v>
      </c>
      <c r="F13" s="209">
        <f>IF(INDEX(INPUT!$T$10:$X$16,MATCH('Detailed Assumptions'!$C13,INPUT!$T$10:$T$16,0),MATCH('Detailed Assumptions'!$D$6,INPUT!$T$10:$X$10,0))="On",IF($D$5=INPUT!$J$10,INPUT!M14,IF($D$5=INPUT!$J$19,INPUT!M23,IF($D$5=INPUT!$J$28,INPUT!M32,"N/A"))),0%)</f>
        <v>0.15</v>
      </c>
      <c r="G13" s="209">
        <f>IF(INDEX(INPUT!$T$10:$X$16,MATCH('Detailed Assumptions'!$C13,INPUT!$T$10:$T$16,0),MATCH('Detailed Assumptions'!$D$6,INPUT!$T$10:$X$10,0))="On",IF($D$5=INPUT!$J$10,INPUT!N14,IF($D$5=INPUT!$J$19,INPUT!N23,IF($D$5=INPUT!$J$28,INPUT!N32,"N/A"))),0%)</f>
        <v>0.2</v>
      </c>
      <c r="H13" s="209">
        <f>IF(INDEX(INPUT!$T$10:$X$16,MATCH('Detailed Assumptions'!$C13,INPUT!$T$10:$T$16,0),MATCH('Detailed Assumptions'!$D$6,INPUT!$T$10:$X$10,0))="On",IF($D$5=INPUT!$J$10,INPUT!O14,IF($D$5=INPUT!$J$19,INPUT!O23,IF($D$5=INPUT!$J$28,INPUT!O32,"N/A"))),0%)</f>
        <v>0.25</v>
      </c>
    </row>
    <row r="14" spans="3:9">
      <c r="C14" s="208" t="s">
        <v>13</v>
      </c>
      <c r="D14" s="209">
        <f>IF(INDEX(INPUT!$T$10:$X$16,MATCH('Detailed Assumptions'!$C14,INPUT!$T$10:$T$16,0),MATCH('Detailed Assumptions'!$D$6,INPUT!$T$10:$X$10,0))="On",IF($D$5=INPUT!$J$10,INPUT!K15,IF($D$5=INPUT!$J$19,INPUT!K24,IF($D$5=INPUT!$J$28,INPUT!K33,"N/A"))),0%)</f>
        <v>0</v>
      </c>
      <c r="E14" s="209">
        <f>IF(INDEX(INPUT!$T$10:$X$16,MATCH('Detailed Assumptions'!$C14,INPUT!$T$10:$T$16,0),MATCH('Detailed Assumptions'!$D$6,INPUT!$T$10:$X$10,0))="On",IF($D$5=INPUT!$J$10,INPUT!L15,IF($D$5=INPUT!$J$19,INPUT!L24,IF($D$5=INPUT!$J$28,INPUT!L33,"N/A"))),0%)</f>
        <v>0</v>
      </c>
      <c r="F14" s="209">
        <f>IF(INDEX(INPUT!$T$10:$X$16,MATCH('Detailed Assumptions'!$C14,INPUT!$T$10:$T$16,0),MATCH('Detailed Assumptions'!$D$6,INPUT!$T$10:$X$10,0))="On",IF($D$5=INPUT!$J$10,INPUT!M15,IF($D$5=INPUT!$J$19,INPUT!M24,IF($D$5=INPUT!$J$28,INPUT!M33,"N/A"))),0%)</f>
        <v>0</v>
      </c>
      <c r="G14" s="209">
        <f>IF(INDEX(INPUT!$T$10:$X$16,MATCH('Detailed Assumptions'!$C14,INPUT!$T$10:$T$16,0),MATCH('Detailed Assumptions'!$D$6,INPUT!$T$10:$X$10,0))="On",IF($D$5=INPUT!$J$10,INPUT!N15,IF($D$5=INPUT!$J$19,INPUT!N24,IF($D$5=INPUT!$J$28,INPUT!N33,"N/A"))),0%)</f>
        <v>0.05</v>
      </c>
      <c r="H14" s="209">
        <f>IF(INDEX(INPUT!$T$10:$X$16,MATCH('Detailed Assumptions'!$C14,INPUT!$T$10:$T$16,0),MATCH('Detailed Assumptions'!$D$6,INPUT!$T$10:$X$10,0))="On",IF($D$5=INPUT!$J$10,INPUT!O15,IF($D$5=INPUT!$J$19,INPUT!O24,IF($D$5=INPUT!$J$28,INPUT!O33,"N/A"))),0%)</f>
        <v>0.2</v>
      </c>
    </row>
    <row r="15" spans="3:9">
      <c r="C15" s="208" t="s">
        <v>14</v>
      </c>
      <c r="D15" s="209">
        <f>IF(INDEX(INPUT!$T$10:$X$16,MATCH('Detailed Assumptions'!$C15,INPUT!$T$10:$T$16,0),MATCH('Detailed Assumptions'!$D$6,INPUT!$T$10:$X$10,0))="On",IF($D$5=INPUT!$J$10,INPUT!K16,IF($D$5=INPUT!$J$19,INPUT!K25,IF($D$5=INPUT!$J$28,INPUT!K34,"N/A"))),0%)</f>
        <v>0</v>
      </c>
      <c r="E15" s="209">
        <f>IF(INDEX(INPUT!$T$10:$X$16,MATCH('Detailed Assumptions'!$C15,INPUT!$T$10:$T$16,0),MATCH('Detailed Assumptions'!$D$6,INPUT!$T$10:$X$10,0))="On",IF($D$5=INPUT!$J$10,INPUT!L16,IF($D$5=INPUT!$J$19,INPUT!L25,IF($D$5=INPUT!$J$28,INPUT!L34,"N/A"))),0%)</f>
        <v>0</v>
      </c>
      <c r="F15" s="209">
        <f>IF(INDEX(INPUT!$T$10:$X$16,MATCH('Detailed Assumptions'!$C15,INPUT!$T$10:$T$16,0),MATCH('Detailed Assumptions'!$D$6,INPUT!$T$10:$X$10,0))="On",IF($D$5=INPUT!$J$10,INPUT!M16,IF($D$5=INPUT!$J$19,INPUT!M25,IF($D$5=INPUT!$J$28,INPUT!M34,"N/A"))),0%)</f>
        <v>0.05</v>
      </c>
      <c r="G15" s="209">
        <f>IF(INDEX(INPUT!$T$10:$X$16,MATCH('Detailed Assumptions'!$C15,INPUT!$T$10:$T$16,0),MATCH('Detailed Assumptions'!$D$6,INPUT!$T$10:$X$10,0))="On",IF($D$5=INPUT!$J$10,INPUT!N16,IF($D$5=INPUT!$J$19,INPUT!N25,IF($D$5=INPUT!$J$28,INPUT!N34,"N/A"))),0%)</f>
        <v>0.1</v>
      </c>
      <c r="H15" s="209">
        <f>IF(INDEX(INPUT!$T$10:$X$16,MATCH('Detailed Assumptions'!$C15,INPUT!$T$10:$T$16,0),MATCH('Detailed Assumptions'!$D$6,INPUT!$T$10:$X$10,0))="On",IF($D$5=INPUT!$J$10,INPUT!O16,IF($D$5=INPUT!$J$19,INPUT!O25,IF($D$5=INPUT!$J$28,INPUT!O34,"N/A"))),0%)</f>
        <v>0.15</v>
      </c>
    </row>
    <row r="16" spans="3:9">
      <c r="C16" s="208" t="s">
        <v>15</v>
      </c>
      <c r="D16" s="209">
        <f>IF(INDEX(INPUT!$T$10:$X$16,MATCH('Detailed Assumptions'!$C16,INPUT!$T$10:$T$16,0),MATCH('Detailed Assumptions'!$D$6,INPUT!$T$10:$X$10,0))="On",IF($D$5=INPUT!$J$10,INPUT!K17,IF($D$5=INPUT!$J$19,INPUT!K26,IF($D$5=INPUT!$J$28,INPUT!K35,"N/A"))),0%)</f>
        <v>0</v>
      </c>
      <c r="E16" s="209">
        <f>IF(INDEX(INPUT!$T$10:$X$16,MATCH('Detailed Assumptions'!$C16,INPUT!$T$10:$T$16,0),MATCH('Detailed Assumptions'!$D$6,INPUT!$T$10:$X$10,0))="On",IF($D$5=INPUT!$J$10,INPUT!L17,IF($D$5=INPUT!$J$19,INPUT!L26,IF($D$5=INPUT!$J$28,INPUT!L35,"N/A"))),0%)</f>
        <v>0</v>
      </c>
      <c r="F16" s="209">
        <f>IF(INDEX(INPUT!$T$10:$X$16,MATCH('Detailed Assumptions'!$C16,INPUT!$T$10:$T$16,0),MATCH('Detailed Assumptions'!$D$6,INPUT!$T$10:$X$10,0))="On",IF($D$5=INPUT!$J$10,INPUT!M17,IF($D$5=INPUT!$J$19,INPUT!M26,IF($D$5=INPUT!$J$28,INPUT!M35,"N/A"))),0%)</f>
        <v>0.05</v>
      </c>
      <c r="G16" s="209">
        <f>IF(INDEX(INPUT!$T$10:$X$16,MATCH('Detailed Assumptions'!$C16,INPUT!$T$10:$T$16,0),MATCH('Detailed Assumptions'!$D$6,INPUT!$T$10:$X$10,0))="On",IF($D$5=INPUT!$J$10,INPUT!N17,IF($D$5=INPUT!$J$19,INPUT!N26,IF($D$5=INPUT!$J$28,INPUT!N35,"N/A"))),0%)</f>
        <v>0.2</v>
      </c>
      <c r="H16" s="209">
        <f>IF(INDEX(INPUT!$T$10:$X$16,MATCH('Detailed Assumptions'!$C16,INPUT!$T$10:$T$16,0),MATCH('Detailed Assumptions'!$D$6,INPUT!$T$10:$X$10,0))="On",IF($D$5=INPUT!$J$10,INPUT!O17,IF($D$5=INPUT!$J$19,INPUT!O26,IF($D$5=INPUT!$J$28,INPUT!O35,"N/A"))),0%)</f>
        <v>0.5</v>
      </c>
    </row>
    <row r="18" spans="3:14" s="160" customFormat="1">
      <c r="C18" s="210" t="s">
        <v>39</v>
      </c>
    </row>
    <row r="20" spans="3:14">
      <c r="C20" s="211" t="s">
        <v>24</v>
      </c>
      <c r="D20" s="212"/>
    </row>
    <row r="21" spans="3:14">
      <c r="C21" s="208" t="s">
        <v>93</v>
      </c>
      <c r="D21" s="213">
        <f>INDEX('Saved scenarios'!$C$40:$H$43,MATCH('Detailed Assumptions'!$C21,'Saved scenarios'!$C$40:$C$43,0),MATCH('Detailed Assumptions'!$D$7,'Saved scenarios'!$C$40:$H$40,0))</f>
        <v>3200000</v>
      </c>
      <c r="E21" s="199" t="s">
        <v>144</v>
      </c>
      <c r="F21" s="214"/>
      <c r="G21" s="214"/>
      <c r="H21" s="215"/>
      <c r="I21" s="215"/>
      <c r="M21" s="216"/>
    </row>
    <row r="22" spans="3:14">
      <c r="C22" s="208" t="s">
        <v>58</v>
      </c>
      <c r="D22" s="213">
        <f>INDEX('Saved scenarios'!$C$40:$H$43,MATCH('Detailed Assumptions'!$C22,'Saved scenarios'!$C$40:$C$43,0),MATCH('Detailed Assumptions'!$D$7,'Saved scenarios'!$C$40:$H$40,0))</f>
        <v>2560000</v>
      </c>
      <c r="F22" s="214"/>
      <c r="G22" s="214"/>
      <c r="H22" s="214"/>
      <c r="I22" s="215"/>
    </row>
    <row r="23" spans="3:14">
      <c r="C23" s="208" t="s">
        <v>35</v>
      </c>
      <c r="D23" s="217">
        <f>INDEX('Saved scenarios'!$C$40:$H$43,MATCH('Detailed Assumptions'!$C23,'Saved scenarios'!$C$40:$C$43,0),MATCH('Detailed Assumptions'!$D$7,'Saved scenarios'!$C$40:$H$40,0))</f>
        <v>-0.01</v>
      </c>
      <c r="E23" s="199" t="s">
        <v>144</v>
      </c>
      <c r="I23" s="218"/>
      <c r="L23" s="215"/>
      <c r="M23" s="216"/>
      <c r="N23" s="216"/>
    </row>
    <row r="24" spans="3:14">
      <c r="L24" s="215"/>
      <c r="N24" s="216"/>
    </row>
    <row r="25" spans="3:14">
      <c r="D25" s="207" t="s">
        <v>18</v>
      </c>
      <c r="E25" s="207" t="s">
        <v>19</v>
      </c>
      <c r="F25" s="207" t="s">
        <v>16</v>
      </c>
      <c r="G25" s="207" t="s">
        <v>17</v>
      </c>
      <c r="H25" s="207" t="s">
        <v>20</v>
      </c>
      <c r="I25" s="207" t="s">
        <v>21</v>
      </c>
      <c r="J25" s="219"/>
      <c r="L25" s="215"/>
      <c r="N25" s="216"/>
    </row>
    <row r="26" spans="3:14" s="220" customFormat="1" ht="58.5" customHeight="1">
      <c r="C26" s="221" t="s">
        <v>1</v>
      </c>
      <c r="D26" s="221" t="s">
        <v>91</v>
      </c>
      <c r="E26" s="221" t="s">
        <v>92</v>
      </c>
      <c r="F26" s="221" t="s">
        <v>78</v>
      </c>
      <c r="G26" s="221" t="s">
        <v>79</v>
      </c>
      <c r="H26" s="221" t="s">
        <v>36</v>
      </c>
      <c r="I26" s="221" t="s">
        <v>37</v>
      </c>
      <c r="J26" s="222"/>
    </row>
    <row r="27" spans="3:14">
      <c r="C27" s="208" t="s">
        <v>23</v>
      </c>
      <c r="D27" s="223">
        <f>INDEX(INPUT!$C$6:$E$12,MATCH('Detailed Assumptions'!D$25,INPUT!$C$6:$C$12,0),3)</f>
        <v>0.25</v>
      </c>
      <c r="E27" s="223">
        <f>INDEX(INPUT!$C$6:$E$12,MATCH('Detailed Assumptions'!E$25,INPUT!$C$6:$C$12,0),3)</f>
        <v>0.5161290322580645</v>
      </c>
      <c r="F27" s="223">
        <f>INDEX(INPUT!$C$6:$E$12,MATCH('Detailed Assumptions'!F$25,INPUT!$C$6:$C$12,0),3)</f>
        <v>0.93</v>
      </c>
      <c r="G27" s="223">
        <f>INDEX(INPUT!$C$6:$E$12,MATCH('Detailed Assumptions'!G$25,INPUT!$C$6:$C$12,0),3)</f>
        <v>1</v>
      </c>
      <c r="H27" s="223">
        <f>INDEX(INPUT!$C$6:$E$12,MATCH('Detailed Assumptions'!H$25,INPUT!$C$6:$C$12,0),3)</f>
        <v>0.92</v>
      </c>
      <c r="I27" s="223">
        <f>INDEX(INPUT!$C$6:$E$12,MATCH('Detailed Assumptions'!I$25,INPUT!$C$6:$C$12,0),3)</f>
        <v>0.86956521739130432</v>
      </c>
      <c r="J27" s="199" t="s">
        <v>108</v>
      </c>
    </row>
    <row r="28" spans="3:14" hidden="1"/>
    <row r="29" spans="3:14" hidden="1">
      <c r="C29" s="224" t="s">
        <v>117</v>
      </c>
      <c r="D29" s="207">
        <v>2015</v>
      </c>
      <c r="E29" s="207" t="s">
        <v>119</v>
      </c>
      <c r="F29" s="207">
        <v>2016</v>
      </c>
      <c r="G29" s="207">
        <v>2017</v>
      </c>
      <c r="H29" s="207">
        <v>2018</v>
      </c>
      <c r="I29" s="207">
        <v>2019</v>
      </c>
      <c r="J29" s="207">
        <v>2020</v>
      </c>
    </row>
    <row r="30" spans="3:14" hidden="1">
      <c r="C30" s="208" t="s">
        <v>118</v>
      </c>
      <c r="D30" s="225">
        <f>D21</f>
        <v>3200000</v>
      </c>
      <c r="E30" s="223">
        <v>1</v>
      </c>
      <c r="F30" s="225">
        <f>D30*(1+$E$30)</f>
        <v>6400000</v>
      </c>
      <c r="G30" s="225">
        <f>F30*(1+$E$30)</f>
        <v>12800000</v>
      </c>
      <c r="H30" s="225">
        <f t="shared" ref="H30:J30" si="0">G30*(1+$E$30)</f>
        <v>25600000</v>
      </c>
      <c r="I30" s="225">
        <f t="shared" si="0"/>
        <v>51200000</v>
      </c>
      <c r="J30" s="225">
        <f t="shared" si="0"/>
        <v>102400000</v>
      </c>
      <c r="K30" s="199" t="s">
        <v>148</v>
      </c>
    </row>
    <row r="31" spans="3:14">
      <c r="D31" s="219"/>
      <c r="E31" s="199"/>
    </row>
    <row r="32" spans="3:14" s="160" customFormat="1">
      <c r="C32" s="210" t="s">
        <v>38</v>
      </c>
    </row>
    <row r="33" spans="3:10">
      <c r="C33" s="219" t="s">
        <v>81</v>
      </c>
    </row>
    <row r="34" spans="3:10">
      <c r="C34" s="224" t="s">
        <v>22</v>
      </c>
      <c r="D34" s="207" t="s">
        <v>18</v>
      </c>
      <c r="E34" s="207" t="s">
        <v>19</v>
      </c>
      <c r="F34" s="207" t="s">
        <v>16</v>
      </c>
      <c r="G34" s="207" t="s">
        <v>17</v>
      </c>
      <c r="H34" s="207" t="s">
        <v>20</v>
      </c>
      <c r="I34" s="207" t="s">
        <v>21</v>
      </c>
      <c r="J34" s="199" t="s">
        <v>105</v>
      </c>
    </row>
    <row r="35" spans="3:10">
      <c r="C35" s="303" t="s">
        <v>11</v>
      </c>
      <c r="D35" s="209">
        <f>INDEX('Saved scenarios'!$B$6:$I$35,MATCH('Detailed Assumptions'!$D$4&amp;$C35,'Saved scenarios'!$B$6:$B$35,0),MATCH('Detailed Assumptions'!D$34,'Saved scenarios'!$B$6:$I$6,0))</f>
        <v>0</v>
      </c>
      <c r="E35" s="209">
        <f>INDEX('Saved scenarios'!$B$6:$I$35,MATCH('Detailed Assumptions'!$D$4&amp;$C35,'Saved scenarios'!$B$6:$B$35,0),MATCH('Detailed Assumptions'!E$34,'Saved scenarios'!$B$6:$I$6,0))</f>
        <v>0</v>
      </c>
      <c r="F35" s="209">
        <f>INDEX('Saved scenarios'!$B$6:$I$35,MATCH('Detailed Assumptions'!$D$4&amp;$C35,'Saved scenarios'!$B$6:$B$35,0),MATCH('Detailed Assumptions'!F$34,'Saved scenarios'!$B$6:$I$6,0))</f>
        <v>0.5</v>
      </c>
      <c r="G35" s="209">
        <f>INDEX('Saved scenarios'!$B$6:$I$35,MATCH('Detailed Assumptions'!$D$4&amp;$C35,'Saved scenarios'!$B$6:$B$35,0),MATCH('Detailed Assumptions'!G$34,'Saved scenarios'!$B$6:$I$6,0))</f>
        <v>0</v>
      </c>
      <c r="H35" s="209">
        <f>INDEX('Saved scenarios'!$B$6:$I$35,MATCH('Detailed Assumptions'!$D$4&amp;$C35,'Saved scenarios'!$B$6:$B$35,0),MATCH('Detailed Assumptions'!H$34,'Saved scenarios'!$B$6:$I$6,0))</f>
        <v>0</v>
      </c>
      <c r="I35" s="209">
        <f>INDEX('Saved scenarios'!$B$6:$I$35,MATCH('Detailed Assumptions'!$D$4&amp;$C35,'Saved scenarios'!$B$6:$B$35,0),MATCH('Detailed Assumptions'!I$34,'Saved scenarios'!$B$6:$I$6,0))</f>
        <v>0</v>
      </c>
    </row>
    <row r="36" spans="3:10">
      <c r="C36" s="303" t="s">
        <v>12</v>
      </c>
      <c r="D36" s="209">
        <f>INDEX('Saved scenarios'!$B$6:$I$35,MATCH('Detailed Assumptions'!$D$4&amp;$C36,'Saved scenarios'!$B$6:$B$35,0),MATCH('Detailed Assumptions'!D$34,'Saved scenarios'!$B$6:$I$6,0))</f>
        <v>0</v>
      </c>
      <c r="E36" s="209">
        <f>INDEX('Saved scenarios'!$B$6:$I$35,MATCH('Detailed Assumptions'!$D$4&amp;$C36,'Saved scenarios'!$B$6:$B$35,0),MATCH('Detailed Assumptions'!E$34,'Saved scenarios'!$B$6:$I$6,0))</f>
        <v>0</v>
      </c>
      <c r="F36" s="209">
        <f>INDEX('Saved scenarios'!$B$6:$I$35,MATCH('Detailed Assumptions'!$D$4&amp;$C36,'Saved scenarios'!$B$6:$B$35,0),MATCH('Detailed Assumptions'!F$34,'Saved scenarios'!$B$6:$I$6,0))</f>
        <v>1</v>
      </c>
      <c r="G36" s="209">
        <f>INDEX('Saved scenarios'!$B$6:$I$35,MATCH('Detailed Assumptions'!$D$4&amp;$C36,'Saved scenarios'!$B$6:$B$35,0),MATCH('Detailed Assumptions'!G$34,'Saved scenarios'!$B$6:$I$6,0))</f>
        <v>0</v>
      </c>
      <c r="H36" s="209">
        <f>INDEX('Saved scenarios'!$B$6:$I$35,MATCH('Detailed Assumptions'!$D$4&amp;$C36,'Saved scenarios'!$B$6:$B$35,0),MATCH('Detailed Assumptions'!H$34,'Saved scenarios'!$B$6:$I$6,0))</f>
        <v>0</v>
      </c>
      <c r="I36" s="209">
        <f>INDEX('Saved scenarios'!$B$6:$I$35,MATCH('Detailed Assumptions'!$D$4&amp;$C36,'Saved scenarios'!$B$6:$B$35,0),MATCH('Detailed Assumptions'!I$34,'Saved scenarios'!$B$6:$I$6,0))</f>
        <v>0</v>
      </c>
    </row>
    <row r="37" spans="3:10">
      <c r="C37" s="208" t="s">
        <v>135</v>
      </c>
      <c r="D37" s="209">
        <f>INDEX('Saved scenarios'!$B$6:$I$35,MATCH('Detailed Assumptions'!$D$4&amp;$C37,'Saved scenarios'!$B$6:$B$35,0),MATCH('Detailed Assumptions'!D$34,'Saved scenarios'!$B$6:$I$6,0))</f>
        <v>1</v>
      </c>
      <c r="E37" s="209">
        <f>INDEX('Saved scenarios'!$B$6:$I$35,MATCH('Detailed Assumptions'!$D$4&amp;$C37,'Saved scenarios'!$B$6:$B$35,0),MATCH('Detailed Assumptions'!E$34,'Saved scenarios'!$B$6:$I$6,0))</f>
        <v>0</v>
      </c>
      <c r="F37" s="209">
        <f>INDEX('Saved scenarios'!$B$6:$I$35,MATCH('Detailed Assumptions'!$D$4&amp;$C37,'Saved scenarios'!$B$6:$B$35,0),MATCH('Detailed Assumptions'!F$34,'Saved scenarios'!$B$6:$I$6,0))</f>
        <v>0</v>
      </c>
      <c r="G37" s="209">
        <f>INDEX('Saved scenarios'!$B$6:$I$35,MATCH('Detailed Assumptions'!$D$4&amp;$C37,'Saved scenarios'!$B$6:$B$35,0),MATCH('Detailed Assumptions'!G$34,'Saved scenarios'!$B$6:$I$6,0))</f>
        <v>0</v>
      </c>
      <c r="H37" s="209">
        <f>INDEX('Saved scenarios'!$B$6:$I$35,MATCH('Detailed Assumptions'!$D$4&amp;$C37,'Saved scenarios'!$B$6:$B$35,0),MATCH('Detailed Assumptions'!H$34,'Saved scenarios'!$B$6:$I$6,0))</f>
        <v>0</v>
      </c>
      <c r="I37" s="209">
        <f>INDEX('Saved scenarios'!$B$6:$I$35,MATCH('Detailed Assumptions'!$D$4&amp;$C37,'Saved scenarios'!$B$6:$B$35,0),MATCH('Detailed Assumptions'!I$34,'Saved scenarios'!$B$6:$I$6,0))</f>
        <v>0.1</v>
      </c>
    </row>
    <row r="38" spans="3:10">
      <c r="C38" s="208" t="s">
        <v>13</v>
      </c>
      <c r="D38" s="209">
        <f>INDEX('Saved scenarios'!$B$6:$I$35,MATCH('Detailed Assumptions'!$D$4&amp;$C38,'Saved scenarios'!$B$6:$B$35,0),MATCH('Detailed Assumptions'!D$34,'Saved scenarios'!$B$6:$I$6,0))</f>
        <v>0</v>
      </c>
      <c r="E38" s="209">
        <f>INDEX('Saved scenarios'!$B$6:$I$35,MATCH('Detailed Assumptions'!$D$4&amp;$C38,'Saved scenarios'!$B$6:$B$35,0),MATCH('Detailed Assumptions'!E$34,'Saved scenarios'!$B$6:$I$6,0))</f>
        <v>0.1</v>
      </c>
      <c r="F38" s="209">
        <f>INDEX('Saved scenarios'!$B$6:$I$35,MATCH('Detailed Assumptions'!$D$4&amp;$C38,'Saved scenarios'!$B$6:$B$35,0),MATCH('Detailed Assumptions'!F$34,'Saved scenarios'!$B$6:$I$6,0))</f>
        <v>0</v>
      </c>
      <c r="G38" s="209">
        <f>INDEX('Saved scenarios'!$B$6:$I$35,MATCH('Detailed Assumptions'!$D$4&amp;$C38,'Saved scenarios'!$B$6:$B$35,0),MATCH('Detailed Assumptions'!G$34,'Saved scenarios'!$B$6:$I$6,0))</f>
        <v>0</v>
      </c>
      <c r="H38" s="209">
        <f>INDEX('Saved scenarios'!$B$6:$I$35,MATCH('Detailed Assumptions'!$D$4&amp;$C38,'Saved scenarios'!$B$6:$B$35,0),MATCH('Detailed Assumptions'!H$34,'Saved scenarios'!$B$6:$I$6,0))</f>
        <v>0.1</v>
      </c>
      <c r="I38" s="209">
        <f>INDEX('Saved scenarios'!$B$6:$I$35,MATCH('Detailed Assumptions'!$D$4&amp;$C38,'Saved scenarios'!$B$6:$B$35,0),MATCH('Detailed Assumptions'!I$34,'Saved scenarios'!$B$6:$I$6,0))</f>
        <v>0.1</v>
      </c>
    </row>
    <row r="39" spans="3:10">
      <c r="C39" s="303" t="s">
        <v>14</v>
      </c>
      <c r="D39" s="209">
        <f>INDEX('Saved scenarios'!$B$6:$I$35,MATCH('Detailed Assumptions'!$D$4&amp;$C39,'Saved scenarios'!$B$6:$B$35,0),MATCH('Detailed Assumptions'!D$34,'Saved scenarios'!$B$6:$I$6,0))</f>
        <v>0</v>
      </c>
      <c r="E39" s="209">
        <f>INDEX('Saved scenarios'!$B$6:$I$35,MATCH('Detailed Assumptions'!$D$4&amp;$C39,'Saved scenarios'!$B$6:$B$35,0),MATCH('Detailed Assumptions'!E$34,'Saved scenarios'!$B$6:$I$6,0))</f>
        <v>0.25</v>
      </c>
      <c r="F39" s="209">
        <f>INDEX('Saved scenarios'!$B$6:$I$35,MATCH('Detailed Assumptions'!$D$4&amp;$C39,'Saved scenarios'!$B$6:$B$35,0),MATCH('Detailed Assumptions'!F$34,'Saved scenarios'!$B$6:$I$6,0))</f>
        <v>0</v>
      </c>
      <c r="G39" s="209">
        <f>INDEX('Saved scenarios'!$B$6:$I$35,MATCH('Detailed Assumptions'!$D$4&amp;$C39,'Saved scenarios'!$B$6:$B$35,0),MATCH('Detailed Assumptions'!G$34,'Saved scenarios'!$B$6:$I$6,0))</f>
        <v>0.05</v>
      </c>
      <c r="H39" s="209">
        <f>INDEX('Saved scenarios'!$B$6:$I$35,MATCH('Detailed Assumptions'!$D$4&amp;$C39,'Saved scenarios'!$B$6:$B$35,0),MATCH('Detailed Assumptions'!H$34,'Saved scenarios'!$B$6:$I$6,0))</f>
        <v>0.1</v>
      </c>
      <c r="I39" s="209">
        <f>INDEX('Saved scenarios'!$B$6:$I$35,MATCH('Detailed Assumptions'!$D$4&amp;$C39,'Saved scenarios'!$B$6:$B$35,0),MATCH('Detailed Assumptions'!I$34,'Saved scenarios'!$B$6:$I$6,0))</f>
        <v>0.1</v>
      </c>
    </row>
    <row r="40" spans="3:10" ht="13" thickBot="1">
      <c r="C40" s="226" t="s">
        <v>15</v>
      </c>
      <c r="D40" s="227">
        <f>INDEX('Saved scenarios'!$B$6:$I$35,MATCH('Detailed Assumptions'!$D$4&amp;$C40,'Saved scenarios'!$B$6:$B$35,0),MATCH('Detailed Assumptions'!D$34,'Saved scenarios'!$B$6:$I$6,0))</f>
        <v>0</v>
      </c>
      <c r="E40" s="227">
        <f>INDEX('Saved scenarios'!$B$6:$I$35,MATCH('Detailed Assumptions'!$D$4&amp;$C40,'Saved scenarios'!$B$6:$B$35,0),MATCH('Detailed Assumptions'!E$34,'Saved scenarios'!$B$6:$I$6,0))</f>
        <v>0.1</v>
      </c>
      <c r="F40" s="227">
        <f>INDEX('Saved scenarios'!$B$6:$I$35,MATCH('Detailed Assumptions'!$D$4&amp;$C40,'Saved scenarios'!$B$6:$B$35,0),MATCH('Detailed Assumptions'!F$34,'Saved scenarios'!$B$6:$I$6,0))</f>
        <v>0</v>
      </c>
      <c r="G40" s="227">
        <f>INDEX('Saved scenarios'!$B$6:$I$35,MATCH('Detailed Assumptions'!$D$4&amp;$C40,'Saved scenarios'!$B$6:$B$35,0),MATCH('Detailed Assumptions'!G$34,'Saved scenarios'!$B$6:$I$6,0))</f>
        <v>0</v>
      </c>
      <c r="H40" s="227">
        <f>INDEX('Saved scenarios'!$B$6:$I$35,MATCH('Detailed Assumptions'!$D$4&amp;$C40,'Saved scenarios'!$B$6:$B$35,0),MATCH('Detailed Assumptions'!H$34,'Saved scenarios'!$B$6:$I$6,0))</f>
        <v>0.1</v>
      </c>
      <c r="I40" s="227">
        <f>INDEX('Saved scenarios'!$B$6:$I$35,MATCH('Detailed Assumptions'!$D$4&amp;$C40,'Saved scenarios'!$B$6:$B$35,0),MATCH('Detailed Assumptions'!I$34,'Saved scenarios'!$B$6:$I$6,0))</f>
        <v>0.1</v>
      </c>
    </row>
    <row r="41" spans="3:10" ht="13" thickTop="1">
      <c r="C41" s="228" t="s">
        <v>85</v>
      </c>
      <c r="D41" s="229">
        <f>INDEX('Saved scenarios'!$B$6:$I$35,MATCH('Detailed Assumptions'!$D$4&amp;$C41,'Saved scenarios'!$B$6:$B$35,0),MATCH('Detailed Assumptions'!D$34,'Saved scenarios'!$B$6:$I$6,0))</f>
        <v>1</v>
      </c>
      <c r="E41" s="229">
        <f>INDEX('Saved scenarios'!$B$6:$I$35,MATCH('Detailed Assumptions'!$D$4&amp;$C41,'Saved scenarios'!$B$6:$B$35,0),MATCH('Detailed Assumptions'!E$34,'Saved scenarios'!$B$6:$I$6,0))</f>
        <v>0.9</v>
      </c>
      <c r="F41" s="229">
        <f>INDEX('Saved scenarios'!$B$6:$I$35,MATCH('Detailed Assumptions'!$D$4&amp;$C41,'Saved scenarios'!$B$6:$B$35,0),MATCH('Detailed Assumptions'!F$34,'Saved scenarios'!$B$6:$I$6,0))</f>
        <v>1</v>
      </c>
      <c r="G41" s="229">
        <f>INDEX('Saved scenarios'!$B$6:$I$35,MATCH('Detailed Assumptions'!$D$4&amp;$C41,'Saved scenarios'!$B$6:$B$35,0),MATCH('Detailed Assumptions'!G$34,'Saved scenarios'!$B$6:$I$6,0))</f>
        <v>1</v>
      </c>
      <c r="H41" s="229">
        <f>INDEX('Saved scenarios'!$B$6:$I$35,MATCH('Detailed Assumptions'!$D$4&amp;$C41,'Saved scenarios'!$B$6:$B$35,0),MATCH('Detailed Assumptions'!H$34,'Saved scenarios'!$B$6:$I$6,0))</f>
        <v>1</v>
      </c>
      <c r="I41" s="229">
        <f>INDEX('Saved scenarios'!$B$6:$I$35,MATCH('Detailed Assumptions'!$D$4&amp;$C41,'Saved scenarios'!$B$6:$B$35,0),MATCH('Detailed Assumptions'!I$34,'Saved scenarios'!$B$6:$I$6,0))</f>
        <v>0.99</v>
      </c>
    </row>
    <row r="43" spans="3:10" s="160" customFormat="1">
      <c r="C43" s="210" t="s">
        <v>40</v>
      </c>
    </row>
    <row r="45" spans="3:10">
      <c r="C45" s="211" t="s">
        <v>24</v>
      </c>
    </row>
    <row r="46" spans="3:10">
      <c r="C46" s="208" t="s">
        <v>95</v>
      </c>
      <c r="D46" s="230">
        <v>168</v>
      </c>
      <c r="E46" s="219" t="s">
        <v>55</v>
      </c>
    </row>
    <row r="47" spans="3:10">
      <c r="C47" s="208" t="s">
        <v>96</v>
      </c>
      <c r="D47" s="231">
        <f>D46/I27</f>
        <v>193.20000000000002</v>
      </c>
    </row>
    <row r="49" spans="3:9">
      <c r="D49" s="207" t="s">
        <v>56</v>
      </c>
      <c r="E49" s="207" t="s">
        <v>80</v>
      </c>
      <c r="F49" s="207" t="s">
        <v>94</v>
      </c>
      <c r="G49" s="207" t="s">
        <v>53</v>
      </c>
    </row>
    <row r="50" spans="3:9" ht="24">
      <c r="C50" s="221" t="s">
        <v>1</v>
      </c>
      <c r="D50" s="221" t="s">
        <v>57</v>
      </c>
      <c r="E50" s="221" t="s">
        <v>49</v>
      </c>
      <c r="F50" s="221" t="s">
        <v>50</v>
      </c>
      <c r="G50" s="221" t="s">
        <v>54</v>
      </c>
      <c r="H50" s="232" t="s">
        <v>97</v>
      </c>
    </row>
    <row r="51" spans="3:9">
      <c r="C51" s="208" t="s">
        <v>51</v>
      </c>
      <c r="D51" s="223">
        <v>0.3</v>
      </c>
      <c r="E51" s="223">
        <v>0.2</v>
      </c>
      <c r="F51" s="223">
        <v>0.4</v>
      </c>
      <c r="G51" s="223">
        <v>0.1</v>
      </c>
      <c r="H51" s="233">
        <f>SUM(D51:G51)</f>
        <v>1</v>
      </c>
    </row>
    <row r="52" spans="3:9">
      <c r="C52" s="208" t="s">
        <v>52</v>
      </c>
      <c r="D52" s="234">
        <f>$D$47*D51</f>
        <v>57.96</v>
      </c>
      <c r="E52" s="234">
        <f t="shared" ref="E52:G52" si="1">$D$47*E51</f>
        <v>38.640000000000008</v>
      </c>
      <c r="F52" s="234">
        <f t="shared" si="1"/>
        <v>77.280000000000015</v>
      </c>
      <c r="G52" s="234">
        <f t="shared" si="1"/>
        <v>19.320000000000004</v>
      </c>
    </row>
    <row r="54" spans="3:9" s="160" customFormat="1">
      <c r="C54" s="210" t="s">
        <v>41</v>
      </c>
    </row>
    <row r="56" spans="3:9">
      <c r="C56" s="224" t="s">
        <v>22</v>
      </c>
      <c r="D56" s="207" t="s">
        <v>56</v>
      </c>
      <c r="E56" s="207" t="s">
        <v>80</v>
      </c>
      <c r="F56" s="207" t="s">
        <v>94</v>
      </c>
      <c r="G56" s="207" t="s">
        <v>53</v>
      </c>
      <c r="H56" s="219" t="s">
        <v>42</v>
      </c>
    </row>
    <row r="57" spans="3:9">
      <c r="C57" s="208" t="s">
        <v>11</v>
      </c>
      <c r="D57" s="223">
        <v>-0.2</v>
      </c>
      <c r="E57" s="235">
        <v>0</v>
      </c>
      <c r="F57" s="235">
        <v>0</v>
      </c>
      <c r="G57" s="235">
        <v>0</v>
      </c>
    </row>
    <row r="58" spans="3:9" ht="13" thickBot="1">
      <c r="C58" s="208" t="s">
        <v>12</v>
      </c>
      <c r="D58" s="223">
        <v>-0.3</v>
      </c>
      <c r="E58" s="235">
        <v>0</v>
      </c>
      <c r="F58" s="235">
        <v>0</v>
      </c>
      <c r="G58" s="235">
        <v>0</v>
      </c>
    </row>
    <row r="59" spans="3:9">
      <c r="C59" s="208" t="s">
        <v>135</v>
      </c>
      <c r="D59" s="236">
        <f>H59/D52</f>
        <v>0.17253278122843341</v>
      </c>
      <c r="E59" s="223">
        <v>0.375</v>
      </c>
      <c r="F59" s="235">
        <v>0</v>
      </c>
      <c r="G59" s="237">
        <v>-0.1</v>
      </c>
      <c r="H59" s="238">
        <v>10</v>
      </c>
      <c r="I59" s="219" t="s">
        <v>106</v>
      </c>
    </row>
    <row r="60" spans="3:9">
      <c r="C60" s="208" t="s">
        <v>13</v>
      </c>
      <c r="D60" s="236">
        <v>0</v>
      </c>
      <c r="E60" s="236">
        <f t="shared" ref="E60:F62" si="2">$H60/($E$52+$F$52)</f>
        <v>0.17253278122843338</v>
      </c>
      <c r="F60" s="236">
        <f t="shared" si="2"/>
        <v>0.17253278122843338</v>
      </c>
      <c r="G60" s="237">
        <v>-0.1</v>
      </c>
      <c r="H60" s="239">
        <v>20</v>
      </c>
      <c r="I60" s="219" t="s">
        <v>182</v>
      </c>
    </row>
    <row r="61" spans="3:9">
      <c r="C61" s="208" t="s">
        <v>14</v>
      </c>
      <c r="D61" s="223">
        <f>5/D52</f>
        <v>8.6266390614216704E-2</v>
      </c>
      <c r="E61" s="236">
        <f t="shared" si="2"/>
        <v>0.37957211870255342</v>
      </c>
      <c r="F61" s="236">
        <f t="shared" si="2"/>
        <v>0.37957211870255342</v>
      </c>
      <c r="G61" s="237">
        <v>-0.1</v>
      </c>
      <c r="H61" s="239">
        <v>44</v>
      </c>
      <c r="I61" s="219" t="s">
        <v>182</v>
      </c>
    </row>
    <row r="62" spans="3:9" ht="13" thickBot="1">
      <c r="C62" s="208" t="s">
        <v>15</v>
      </c>
      <c r="D62" s="236">
        <v>0</v>
      </c>
      <c r="E62" s="236">
        <f t="shared" si="2"/>
        <v>0.17253278122843338</v>
      </c>
      <c r="F62" s="236">
        <f t="shared" si="2"/>
        <v>0.17253278122843338</v>
      </c>
      <c r="G62" s="237">
        <v>-0.1</v>
      </c>
      <c r="H62" s="240">
        <v>20</v>
      </c>
      <c r="I62" s="219" t="s">
        <v>182</v>
      </c>
    </row>
    <row r="64" spans="3:9" s="241" customFormat="1">
      <c r="C64" s="210" t="s">
        <v>83</v>
      </c>
    </row>
    <row r="66" spans="3:10">
      <c r="C66" s="224" t="s">
        <v>109</v>
      </c>
      <c r="D66" s="207" t="s">
        <v>43</v>
      </c>
      <c r="E66" s="242"/>
    </row>
    <row r="67" spans="3:10">
      <c r="C67" s="208">
        <v>1</v>
      </c>
      <c r="D67" s="243">
        <v>1</v>
      </c>
      <c r="E67" s="242"/>
      <c r="F67" s="242"/>
    </row>
    <row r="68" spans="3:10">
      <c r="C68" s="244">
        <v>2</v>
      </c>
      <c r="D68" s="223">
        <v>0.75</v>
      </c>
      <c r="E68" s="242"/>
    </row>
    <row r="69" spans="3:10">
      <c r="C69" s="244">
        <v>3</v>
      </c>
      <c r="D69" s="223">
        <v>0.5</v>
      </c>
      <c r="E69" s="242"/>
    </row>
    <row r="70" spans="3:10">
      <c r="C70" s="244">
        <v>4</v>
      </c>
      <c r="D70" s="223">
        <v>0.1</v>
      </c>
      <c r="E70" s="242"/>
    </row>
    <row r="71" spans="3:10">
      <c r="C71" s="244">
        <v>5</v>
      </c>
      <c r="D71" s="223">
        <v>0.1</v>
      </c>
      <c r="E71" s="242"/>
    </row>
    <row r="72" spans="3:10">
      <c r="C72" s="244">
        <v>6</v>
      </c>
      <c r="D72" s="223">
        <v>0.1</v>
      </c>
      <c r="E72" s="242"/>
    </row>
    <row r="73" spans="3:10">
      <c r="E73" s="242"/>
    </row>
    <row r="74" spans="3:10">
      <c r="D74" s="219" t="s">
        <v>102</v>
      </c>
    </row>
    <row r="75" spans="3:10">
      <c r="C75" s="224" t="s">
        <v>84</v>
      </c>
      <c r="D75" s="207" t="s">
        <v>86</v>
      </c>
      <c r="E75" s="207">
        <v>2016</v>
      </c>
      <c r="F75" s="207">
        <v>2017</v>
      </c>
      <c r="G75" s="207">
        <v>2018</v>
      </c>
      <c r="H75" s="207">
        <v>2019</v>
      </c>
      <c r="I75" s="207">
        <v>2020</v>
      </c>
      <c r="J75" s="219" t="s">
        <v>213</v>
      </c>
    </row>
    <row r="76" spans="3:10">
      <c r="C76" s="244" t="s">
        <v>18</v>
      </c>
      <c r="D76" s="245" t="s">
        <v>82</v>
      </c>
      <c r="E76" s="245" t="str">
        <f>D76</f>
        <v>N/A</v>
      </c>
      <c r="F76" s="245" t="str">
        <f t="shared" ref="F76:I76" si="3">E76</f>
        <v>N/A</v>
      </c>
      <c r="G76" s="245" t="str">
        <f t="shared" si="3"/>
        <v>N/A</v>
      </c>
      <c r="H76" s="245" t="str">
        <f t="shared" si="3"/>
        <v>N/A</v>
      </c>
      <c r="I76" s="245" t="str">
        <f t="shared" si="3"/>
        <v>N/A</v>
      </c>
    </row>
    <row r="77" spans="3:10">
      <c r="C77" s="244" t="s">
        <v>19</v>
      </c>
      <c r="D77" s="245" t="s">
        <v>82</v>
      </c>
      <c r="E77" s="245" t="str">
        <f t="shared" ref="E77:I77" si="4">D77</f>
        <v>N/A</v>
      </c>
      <c r="F77" s="245" t="str">
        <f t="shared" si="4"/>
        <v>N/A</v>
      </c>
      <c r="G77" s="245" t="str">
        <f t="shared" si="4"/>
        <v>N/A</v>
      </c>
      <c r="H77" s="245" t="str">
        <f t="shared" si="4"/>
        <v>N/A</v>
      </c>
      <c r="I77" s="245" t="str">
        <f t="shared" si="4"/>
        <v>N/A</v>
      </c>
    </row>
    <row r="78" spans="3:10">
      <c r="C78" s="244" t="s">
        <v>16</v>
      </c>
      <c r="D78" s="223">
        <v>0.1</v>
      </c>
      <c r="E78" s="296">
        <f>E$83*$D78/E$84</f>
        <v>3.799903799903788E-3</v>
      </c>
      <c r="F78" s="296">
        <f t="shared" ref="F78:I78" si="5">F$83*$D78/F$84</f>
        <v>3.5812672176308638E-3</v>
      </c>
      <c r="G78" s="296">
        <f t="shared" si="5"/>
        <v>4.9309706005710788E-3</v>
      </c>
      <c r="H78" s="296">
        <f t="shared" si="5"/>
        <v>5.6748073346610979E-3</v>
      </c>
      <c r="I78" s="296">
        <f t="shared" si="5"/>
        <v>7.241496186092807E-3</v>
      </c>
    </row>
    <row r="79" spans="3:10">
      <c r="C79" s="244" t="s">
        <v>17</v>
      </c>
      <c r="D79" s="223">
        <v>0.1</v>
      </c>
      <c r="E79" s="296">
        <f>E$83*$D79/E$85</f>
        <v>4.1026812839834309E-3</v>
      </c>
      <c r="F79" s="296">
        <f t="shared" ref="F79:I79" si="6">F$83*$D79/F$85</f>
        <v>3.8657111421689719E-3</v>
      </c>
      <c r="G79" s="296">
        <f t="shared" si="6"/>
        <v>5.2003719420491111E-3</v>
      </c>
      <c r="H79" s="296">
        <f t="shared" si="6"/>
        <v>5.6748073346610979E-3</v>
      </c>
      <c r="I79" s="296">
        <f t="shared" si="6"/>
        <v>7.241496186092807E-3</v>
      </c>
    </row>
    <row r="80" spans="3:10">
      <c r="C80" s="244" t="s">
        <v>20</v>
      </c>
      <c r="D80" s="295">
        <v>0</v>
      </c>
      <c r="E80" s="296">
        <f t="shared" ref="E80:E81" si="7">E$83*$D80</f>
        <v>0</v>
      </c>
      <c r="F80" s="296">
        <f t="shared" ref="F80:I81" si="8">F$83*$D80</f>
        <v>0</v>
      </c>
      <c r="G80" s="296">
        <f t="shared" si="8"/>
        <v>0</v>
      </c>
      <c r="H80" s="296">
        <f t="shared" si="8"/>
        <v>0</v>
      </c>
      <c r="I80" s="296">
        <f t="shared" si="8"/>
        <v>0</v>
      </c>
    </row>
    <row r="81" spans="3:9">
      <c r="C81" s="244" t="s">
        <v>21</v>
      </c>
      <c r="D81" s="295">
        <v>0</v>
      </c>
      <c r="E81" s="296">
        <f t="shared" si="7"/>
        <v>0</v>
      </c>
      <c r="F81" s="296">
        <f t="shared" si="8"/>
        <v>0</v>
      </c>
      <c r="G81" s="296">
        <f t="shared" si="8"/>
        <v>0</v>
      </c>
      <c r="H81" s="296">
        <f t="shared" si="8"/>
        <v>0</v>
      </c>
      <c r="I81" s="296">
        <f t="shared" si="8"/>
        <v>0</v>
      </c>
    </row>
    <row r="82" spans="3:9">
      <c r="E82" s="215"/>
      <c r="F82" s="215"/>
      <c r="G82" s="215"/>
      <c r="H82" s="215"/>
      <c r="I82" s="215"/>
    </row>
    <row r="83" spans="3:9">
      <c r="C83" s="244" t="s">
        <v>101</v>
      </c>
      <c r="D83" s="246" t="s">
        <v>82</v>
      </c>
      <c r="E83" s="246">
        <f>Calculations!E10-Calculations!D10</f>
        <v>135913.97849462321</v>
      </c>
      <c r="F83" s="246">
        <f>Calculations!F10-Calculations!E10</f>
        <v>132851.61290322617</v>
      </c>
      <c r="G83" s="246">
        <f>Calculations!G10-Calculations!F10</f>
        <v>192408.14707257925</v>
      </c>
      <c r="H83" s="246">
        <f>Calculations!H10-Calculations!G10</f>
        <v>234754.79109933041</v>
      </c>
      <c r="I83" s="246">
        <f>Calculations!I10-Calculations!H10</f>
        <v>322951.95249119075</v>
      </c>
    </row>
    <row r="84" spans="3:9">
      <c r="C84" s="244" t="s">
        <v>214</v>
      </c>
      <c r="D84" s="246" t="s">
        <v>82</v>
      </c>
      <c r="E84" s="246">
        <f>Calculations!E10</f>
        <v>3576774.1935483869</v>
      </c>
      <c r="F84" s="246">
        <f>Calculations!F10</f>
        <v>3709625.8064516131</v>
      </c>
      <c r="G84" s="246">
        <f>Calculations!G10</f>
        <v>3902033.9535241923</v>
      </c>
      <c r="H84" s="246">
        <f>Calculations!H10</f>
        <v>4136788.7446235227</v>
      </c>
      <c r="I84" s="246">
        <f>Calculations!I10</f>
        <v>4459740.6971147135</v>
      </c>
    </row>
    <row r="85" spans="3:9">
      <c r="C85" s="244" t="s">
        <v>215</v>
      </c>
      <c r="D85" s="246" t="s">
        <v>82</v>
      </c>
      <c r="E85" s="246">
        <f>Calculations!E12</f>
        <v>3312808.6021505375</v>
      </c>
      <c r="F85" s="246">
        <f>Calculations!F12</f>
        <v>3436666.8387096776</v>
      </c>
      <c r="G85" s="246">
        <f>Calculations!G12</f>
        <v>3699892.0311219967</v>
      </c>
      <c r="H85" s="246">
        <f>Calculations!H12</f>
        <v>4136788.7446235227</v>
      </c>
      <c r="I85" s="246">
        <f>Calculations!I12</f>
        <v>4459740.6971147135</v>
      </c>
    </row>
    <row r="87" spans="3:9">
      <c r="C87" s="224" t="s">
        <v>181</v>
      </c>
      <c r="D87" s="207">
        <v>2016</v>
      </c>
      <c r="E87" s="207">
        <v>2017</v>
      </c>
      <c r="F87" s="207">
        <v>2018</v>
      </c>
      <c r="G87" s="207">
        <v>2019</v>
      </c>
      <c r="H87" s="207">
        <v>2020</v>
      </c>
    </row>
    <row r="88" spans="3:9">
      <c r="C88" s="244" t="s">
        <v>183</v>
      </c>
      <c r="D88" s="247">
        <v>1</v>
      </c>
      <c r="E88" s="247">
        <v>0.8</v>
      </c>
      <c r="F88" s="247">
        <v>0.65</v>
      </c>
      <c r="G88" s="247">
        <v>0.55000000000000004</v>
      </c>
      <c r="H88" s="247">
        <v>0.5</v>
      </c>
    </row>
    <row r="89" spans="3:9">
      <c r="C89" s="244" t="s">
        <v>184</v>
      </c>
      <c r="D89" s="247">
        <v>1</v>
      </c>
      <c r="E89" s="247">
        <v>0.85</v>
      </c>
      <c r="F89" s="247">
        <v>0.75</v>
      </c>
      <c r="G89" s="247">
        <v>0.7</v>
      </c>
      <c r="H89" s="247">
        <f>2/3</f>
        <v>0.66666666666666663</v>
      </c>
      <c r="I89" s="248" t="s">
        <v>185</v>
      </c>
    </row>
    <row r="92" spans="3:9">
      <c r="F92" s="215"/>
    </row>
    <row r="93" spans="3:9">
      <c r="F93" s="215"/>
    </row>
    <row r="94" spans="3:9">
      <c r="F94" s="218"/>
      <c r="G94" s="218"/>
    </row>
    <row r="95" spans="3:9">
      <c r="G95" s="249"/>
    </row>
    <row r="96" spans="3:9">
      <c r="G96" s="218"/>
    </row>
  </sheetData>
  <dataValidations disablePrompts="1" count="1">
    <dataValidation type="list" allowBlank="1" showInputMessage="1" showErrorMessage="1" sqref="D4">
      <formula1>"Best case, Base case, Worst case"</formula1>
    </dataValidation>
  </dataValidations>
  <pageMargins left="0.2361111111111111" right="0.2361111111111111" top="0.75" bottom="0.75" header="0.31944444444444442" footer="0.31944444444444442"/>
  <pageSetup orientation="landscape"/>
  <headerFooter>
    <oddFooter>&amp;CPage &amp;P of &amp;N</oddFooter>
  </headerFooter>
  <customProperties>
    <customPr name="SheetId" r:id="rId1"/>
  </customPropertie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'Saved scenarios'!$D$40:$H$40</xm:f>
          </x14:formula1>
          <xm:sqref>D7</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sheetPr>
  <dimension ref="B1:X44"/>
  <sheetViews>
    <sheetView showGridLines="0" topLeftCell="A10" zoomScale="85" zoomScaleNormal="85" zoomScalePageLayoutView="85" workbookViewId="0">
      <selection activeCell="G29" sqref="G29"/>
    </sheetView>
  </sheetViews>
  <sheetFormatPr baseColWidth="10" defaultColWidth="9.1640625" defaultRowHeight="12" x14ac:dyDescent="0"/>
  <cols>
    <col min="1" max="2" width="13.33203125" customWidth="1"/>
    <col min="3" max="3" width="22.5" customWidth="1"/>
    <col min="4" max="4" width="36.5" bestFit="1" customWidth="1"/>
    <col min="5" max="5" width="29.33203125" customWidth="1"/>
    <col min="6" max="6" width="27" bestFit="1" customWidth="1"/>
    <col min="7" max="7" width="23.5" bestFit="1" customWidth="1"/>
    <col min="8" max="8" width="27.5" customWidth="1"/>
    <col min="9" max="9" width="36.5" bestFit="1" customWidth="1"/>
    <col min="10" max="10" width="17.6640625" style="1" customWidth="1"/>
    <col min="11" max="11" width="22.6640625" bestFit="1" customWidth="1"/>
    <col min="12" max="12" width="21.1640625" bestFit="1" customWidth="1"/>
    <col min="13" max="13" width="24" bestFit="1" customWidth="1"/>
    <col min="14" max="14" width="21.33203125" bestFit="1" customWidth="1"/>
    <col min="15" max="15" width="22" bestFit="1" customWidth="1"/>
    <col min="16" max="16" width="19.33203125" bestFit="1" customWidth="1"/>
    <col min="18" max="18" width="17" bestFit="1" customWidth="1"/>
    <col min="19" max="19" width="15.5" bestFit="1" customWidth="1"/>
    <col min="20" max="20" width="14.1640625" bestFit="1" customWidth="1"/>
    <col min="21" max="21" width="15.5" bestFit="1" customWidth="1"/>
    <col min="22" max="22" width="21" bestFit="1" customWidth="1"/>
    <col min="23" max="23" width="13" customWidth="1"/>
  </cols>
  <sheetData>
    <row r="1" spans="2:24" s="1" customFormat="1"/>
    <row r="2" spans="2:24" s="59" customFormat="1">
      <c r="B2" s="60"/>
      <c r="C2" s="125" t="s">
        <v>137</v>
      </c>
    </row>
    <row r="3" spans="2:24">
      <c r="B3" s="1"/>
      <c r="C3" s="1"/>
      <c r="D3" s="1"/>
      <c r="E3" s="1"/>
      <c r="F3" s="1"/>
      <c r="G3" s="1"/>
      <c r="H3" s="1"/>
      <c r="I3" s="1"/>
      <c r="K3" s="1"/>
      <c r="L3" s="1"/>
      <c r="M3" s="1"/>
      <c r="N3" s="1"/>
      <c r="O3" s="1"/>
      <c r="P3" s="1"/>
      <c r="Q3" s="1"/>
      <c r="R3" s="1"/>
      <c r="S3" s="1"/>
      <c r="T3" s="1"/>
      <c r="U3" s="1"/>
      <c r="V3" s="1"/>
      <c r="W3" s="1"/>
      <c r="X3" s="1"/>
    </row>
    <row r="4" spans="2:24" s="123" customFormat="1">
      <c r="C4" s="124" t="s">
        <v>103</v>
      </c>
    </row>
    <row r="5" spans="2:24" s="1" customFormat="1"/>
    <row r="6" spans="2:24">
      <c r="B6" s="1"/>
      <c r="C6" s="58" t="s">
        <v>103</v>
      </c>
      <c r="D6" s="39" t="s">
        <v>18</v>
      </c>
      <c r="E6" s="39" t="s">
        <v>19</v>
      </c>
      <c r="F6" s="39" t="s">
        <v>16</v>
      </c>
      <c r="G6" s="39" t="s">
        <v>17</v>
      </c>
      <c r="H6" s="39" t="s">
        <v>20</v>
      </c>
      <c r="I6" s="39" t="s">
        <v>21</v>
      </c>
      <c r="K6" s="1"/>
      <c r="L6" s="1"/>
      <c r="M6" s="1"/>
      <c r="N6" s="1"/>
      <c r="O6" s="1"/>
      <c r="P6" s="1"/>
      <c r="Q6" s="1"/>
      <c r="R6" s="1"/>
      <c r="S6" s="1"/>
      <c r="T6" s="1"/>
      <c r="U6" s="1"/>
      <c r="V6" s="1"/>
      <c r="W6" s="1"/>
      <c r="X6" s="1"/>
    </row>
    <row r="7" spans="2:24">
      <c r="B7" s="1" t="str">
        <f t="shared" ref="B7:B13" si="0">$C$6&amp;C7</f>
        <v>Worst caseLocal production</v>
      </c>
      <c r="C7" s="37" t="s">
        <v>11</v>
      </c>
      <c r="D7" s="50">
        <f>D18/2</f>
        <v>0</v>
      </c>
      <c r="E7" s="50">
        <f t="shared" ref="E7:I7" si="1">E18/2</f>
        <v>0</v>
      </c>
      <c r="F7" s="72">
        <f t="shared" si="1"/>
        <v>0.25</v>
      </c>
      <c r="G7" s="50">
        <f>G18/2</f>
        <v>0</v>
      </c>
      <c r="H7" s="50">
        <f t="shared" si="1"/>
        <v>0</v>
      </c>
      <c r="I7" s="50">
        <f t="shared" si="1"/>
        <v>0</v>
      </c>
      <c r="K7" s="1"/>
      <c r="L7" s="1"/>
      <c r="M7" s="1"/>
      <c r="N7" s="1"/>
      <c r="O7" s="1"/>
      <c r="P7" s="1"/>
      <c r="Q7" s="1"/>
      <c r="R7" s="1"/>
      <c r="S7" s="1"/>
      <c r="T7" s="1"/>
      <c r="U7" s="1"/>
      <c r="V7" s="1"/>
      <c r="W7" s="1"/>
      <c r="X7" s="1"/>
    </row>
    <row r="8" spans="2:24">
      <c r="B8" s="1" t="str">
        <f t="shared" si="0"/>
        <v>Worst caseMANGO</v>
      </c>
      <c r="C8" s="37" t="s">
        <v>12</v>
      </c>
      <c r="D8" s="50">
        <f t="shared" ref="D8:I8" si="2">D19/2</f>
        <v>0</v>
      </c>
      <c r="E8" s="50">
        <f t="shared" si="2"/>
        <v>0</v>
      </c>
      <c r="F8" s="72">
        <f t="shared" si="2"/>
        <v>0.5</v>
      </c>
      <c r="G8" s="50">
        <f t="shared" si="2"/>
        <v>0</v>
      </c>
      <c r="H8" s="50">
        <f t="shared" si="2"/>
        <v>0</v>
      </c>
      <c r="I8" s="50">
        <f t="shared" si="2"/>
        <v>0</v>
      </c>
      <c r="K8" s="1"/>
      <c r="L8" s="1"/>
      <c r="M8" s="1"/>
      <c r="N8" s="1"/>
      <c r="O8" s="1"/>
      <c r="P8" s="1"/>
      <c r="Q8" s="1"/>
      <c r="R8" s="1"/>
      <c r="S8" s="1"/>
      <c r="T8" s="1"/>
      <c r="U8" s="1"/>
      <c r="V8" s="1"/>
      <c r="W8" s="1"/>
      <c r="X8" s="1"/>
    </row>
    <row r="9" spans="2:24">
      <c r="B9" s="1" t="str">
        <f t="shared" si="0"/>
        <v>Worst caseFamily MUAC</v>
      </c>
      <c r="C9" s="37" t="s">
        <v>135</v>
      </c>
      <c r="D9" s="72">
        <f t="shared" ref="D9:I9" si="3">D20/2</f>
        <v>0.5</v>
      </c>
      <c r="E9" s="50">
        <f t="shared" si="3"/>
        <v>0</v>
      </c>
      <c r="F9" s="50">
        <f t="shared" si="3"/>
        <v>0</v>
      </c>
      <c r="G9" s="50">
        <f t="shared" si="3"/>
        <v>0</v>
      </c>
      <c r="H9" s="50">
        <f t="shared" si="3"/>
        <v>0</v>
      </c>
      <c r="I9" s="72">
        <f t="shared" si="3"/>
        <v>0.05</v>
      </c>
      <c r="K9" s="1"/>
      <c r="L9" s="1"/>
      <c r="M9" s="1"/>
      <c r="N9" s="1"/>
      <c r="O9" s="1"/>
      <c r="P9" s="1"/>
      <c r="Q9" s="1"/>
      <c r="R9" s="1"/>
      <c r="S9" s="1"/>
      <c r="T9" s="1"/>
      <c r="U9" s="1"/>
      <c r="V9" s="1"/>
      <c r="W9" s="1"/>
      <c r="X9" s="1"/>
    </row>
    <row r="10" spans="2:24">
      <c r="B10" s="1" t="str">
        <f t="shared" si="0"/>
        <v>Worst caseCOMPASS</v>
      </c>
      <c r="C10" s="37" t="s">
        <v>13</v>
      </c>
      <c r="D10" s="50">
        <f t="shared" ref="D10:I11" si="4">D21/2</f>
        <v>0</v>
      </c>
      <c r="E10" s="72">
        <f t="shared" si="4"/>
        <v>0.05</v>
      </c>
      <c r="F10" s="74">
        <f t="shared" si="4"/>
        <v>0</v>
      </c>
      <c r="G10" s="50">
        <f t="shared" si="4"/>
        <v>0</v>
      </c>
      <c r="H10" s="72">
        <f t="shared" si="4"/>
        <v>0.05</v>
      </c>
      <c r="I10" s="72">
        <f t="shared" si="4"/>
        <v>0.05</v>
      </c>
      <c r="K10" s="1"/>
      <c r="L10" s="1"/>
      <c r="M10" s="1"/>
      <c r="N10" s="1"/>
      <c r="O10" s="1"/>
      <c r="P10" s="1"/>
      <c r="Q10" s="1"/>
      <c r="R10" s="1"/>
      <c r="S10" s="1"/>
      <c r="T10" s="1"/>
      <c r="U10" s="1"/>
      <c r="V10" s="1"/>
      <c r="W10" s="1"/>
      <c r="X10" s="1"/>
    </row>
    <row r="11" spans="2:24">
      <c r="B11" s="1" t="str">
        <f t="shared" si="0"/>
        <v>Worst caseiCCM Nutrition</v>
      </c>
      <c r="C11" s="37" t="s">
        <v>14</v>
      </c>
      <c r="D11" s="72">
        <f t="shared" ref="D11:I11" si="5">D22/2</f>
        <v>0</v>
      </c>
      <c r="E11" s="72">
        <f t="shared" si="5"/>
        <v>0.125</v>
      </c>
      <c r="F11" s="50">
        <f t="shared" si="5"/>
        <v>0</v>
      </c>
      <c r="G11" s="72">
        <f t="shared" si="4"/>
        <v>2.5000000000000001E-2</v>
      </c>
      <c r="H11" s="72">
        <f t="shared" si="5"/>
        <v>0.05</v>
      </c>
      <c r="I11" s="72">
        <f t="shared" si="5"/>
        <v>0.05</v>
      </c>
      <c r="K11" s="1"/>
      <c r="L11" s="1"/>
      <c r="M11" s="1"/>
      <c r="N11" s="1"/>
      <c r="O11" s="1"/>
      <c r="P11" s="1"/>
      <c r="Q11" s="1"/>
      <c r="R11" s="1"/>
      <c r="S11" s="1"/>
      <c r="T11" s="1"/>
      <c r="U11" s="1"/>
      <c r="V11" s="1"/>
      <c r="W11" s="1"/>
      <c r="X11" s="1"/>
    </row>
    <row r="12" spans="2:24" ht="13" thickBot="1">
      <c r="B12" s="1" t="str">
        <f t="shared" si="0"/>
        <v>Worst caseMUAC only</v>
      </c>
      <c r="C12" s="85" t="s">
        <v>15</v>
      </c>
      <c r="D12" s="86">
        <f t="shared" ref="D12:I12" si="6">D23/2</f>
        <v>0</v>
      </c>
      <c r="E12" s="87">
        <f t="shared" si="6"/>
        <v>0.05</v>
      </c>
      <c r="F12" s="86">
        <f t="shared" si="6"/>
        <v>0</v>
      </c>
      <c r="G12" s="86">
        <f t="shared" si="6"/>
        <v>0</v>
      </c>
      <c r="H12" s="87">
        <f t="shared" si="6"/>
        <v>0.05</v>
      </c>
      <c r="I12" s="87">
        <f t="shared" si="6"/>
        <v>0.05</v>
      </c>
      <c r="K12" s="1"/>
      <c r="L12" s="1"/>
      <c r="M12" s="1"/>
      <c r="N12" s="1"/>
      <c r="O12" s="1"/>
      <c r="P12" s="1"/>
      <c r="Q12" s="1"/>
      <c r="R12" s="1"/>
      <c r="S12" s="1"/>
      <c r="T12" s="1"/>
      <c r="U12" s="1"/>
      <c r="V12" s="1"/>
      <c r="W12" s="1"/>
      <c r="X12" s="1"/>
    </row>
    <row r="13" spans="2:24" ht="13" thickTop="1">
      <c r="B13" s="1" t="str">
        <f t="shared" si="0"/>
        <v>Worst caseMaximum</v>
      </c>
      <c r="C13" s="82" t="s">
        <v>85</v>
      </c>
      <c r="D13" s="83">
        <v>1</v>
      </c>
      <c r="E13" s="84">
        <v>0.9</v>
      </c>
      <c r="F13" s="84">
        <v>1</v>
      </c>
      <c r="G13" s="83">
        <v>1</v>
      </c>
      <c r="H13" s="83">
        <v>1</v>
      </c>
      <c r="I13" s="83">
        <v>1</v>
      </c>
      <c r="J13"/>
      <c r="K13" s="1"/>
      <c r="L13" s="1"/>
      <c r="M13" s="1"/>
      <c r="N13" s="1"/>
      <c r="O13" s="1"/>
      <c r="P13" s="1"/>
    </row>
    <row r="14" spans="2:24">
      <c r="J14"/>
      <c r="K14" s="1"/>
      <c r="L14" s="1"/>
      <c r="M14" s="1"/>
      <c r="N14" s="1"/>
      <c r="O14" s="1"/>
      <c r="P14" s="1"/>
    </row>
    <row r="15" spans="2:24" s="123" customFormat="1">
      <c r="C15" s="124" t="s">
        <v>23</v>
      </c>
    </row>
    <row r="16" spans="2:24" s="1" customFormat="1"/>
    <row r="17" spans="2:24">
      <c r="C17" s="58" t="s">
        <v>23</v>
      </c>
      <c r="D17" s="39" t="s">
        <v>18</v>
      </c>
      <c r="E17" s="39" t="s">
        <v>19</v>
      </c>
      <c r="F17" s="39" t="s">
        <v>16</v>
      </c>
      <c r="G17" s="39" t="s">
        <v>17</v>
      </c>
      <c r="H17" s="39" t="s">
        <v>20</v>
      </c>
      <c r="I17" s="39" t="s">
        <v>21</v>
      </c>
      <c r="K17" s="1"/>
      <c r="L17" s="1"/>
      <c r="M17" s="1"/>
      <c r="N17" s="1"/>
      <c r="O17" s="1"/>
      <c r="P17" s="1"/>
      <c r="Q17" s="1"/>
      <c r="R17" s="1"/>
      <c r="S17" s="1"/>
      <c r="T17" s="1"/>
      <c r="U17" s="1"/>
      <c r="V17" s="1"/>
      <c r="W17" s="1"/>
      <c r="X17" s="1"/>
    </row>
    <row r="18" spans="2:24">
      <c r="B18" t="str">
        <f t="shared" ref="B18:B24" si="7">$C$17&amp;C18</f>
        <v>Base caseLocal production</v>
      </c>
      <c r="C18" s="37" t="s">
        <v>11</v>
      </c>
      <c r="D18" s="50">
        <v>0</v>
      </c>
      <c r="E18" s="50">
        <v>0</v>
      </c>
      <c r="F18" s="72">
        <v>0.5</v>
      </c>
      <c r="G18" s="50">
        <v>0</v>
      </c>
      <c r="H18" s="50">
        <v>0</v>
      </c>
      <c r="I18" s="50">
        <v>0</v>
      </c>
      <c r="K18" s="1"/>
      <c r="L18" s="1"/>
      <c r="M18" s="1"/>
      <c r="N18" s="1"/>
      <c r="O18" s="1"/>
      <c r="P18" s="1"/>
      <c r="Q18" s="1"/>
      <c r="R18" s="1"/>
      <c r="S18" s="1"/>
      <c r="T18" s="1"/>
      <c r="U18" s="1"/>
      <c r="V18" s="1"/>
      <c r="W18" s="1"/>
      <c r="X18" s="1"/>
    </row>
    <row r="19" spans="2:24">
      <c r="B19" s="1" t="str">
        <f t="shared" si="7"/>
        <v>Base caseMANGO</v>
      </c>
      <c r="C19" s="37" t="s">
        <v>12</v>
      </c>
      <c r="D19" s="50">
        <v>0</v>
      </c>
      <c r="E19" s="50">
        <v>0</v>
      </c>
      <c r="F19" s="72">
        <v>1</v>
      </c>
      <c r="G19" s="50">
        <v>0</v>
      </c>
      <c r="H19" s="50">
        <v>0</v>
      </c>
      <c r="I19" s="50">
        <v>0</v>
      </c>
      <c r="K19" s="1"/>
      <c r="L19" s="1"/>
      <c r="M19" s="1"/>
      <c r="N19" s="1"/>
      <c r="O19" s="1"/>
      <c r="P19" s="1"/>
      <c r="Q19" s="1"/>
      <c r="R19" s="1"/>
      <c r="S19" s="1"/>
      <c r="T19" s="1"/>
      <c r="U19" s="1"/>
      <c r="V19" s="1"/>
      <c r="W19" s="1"/>
      <c r="X19" s="1"/>
    </row>
    <row r="20" spans="2:24">
      <c r="B20" s="1" t="str">
        <f t="shared" si="7"/>
        <v>Base caseFamily MUAC</v>
      </c>
      <c r="C20" s="37" t="s">
        <v>135</v>
      </c>
      <c r="D20" s="72">
        <v>1</v>
      </c>
      <c r="E20" s="50">
        <v>0</v>
      </c>
      <c r="F20" s="50">
        <v>0</v>
      </c>
      <c r="G20" s="50">
        <v>0</v>
      </c>
      <c r="H20" s="50">
        <v>0</v>
      </c>
      <c r="I20" s="72">
        <v>0.1</v>
      </c>
      <c r="K20" s="1"/>
      <c r="L20" s="1"/>
      <c r="M20" s="1"/>
      <c r="N20" s="1"/>
      <c r="O20" s="1"/>
      <c r="P20" s="1"/>
      <c r="Q20" s="1"/>
      <c r="R20" s="1"/>
      <c r="S20" s="1"/>
      <c r="T20" s="1"/>
      <c r="U20" s="1"/>
      <c r="V20" s="1"/>
      <c r="W20" s="1"/>
      <c r="X20" s="1"/>
    </row>
    <row r="21" spans="2:24">
      <c r="B21" s="1" t="str">
        <f t="shared" si="7"/>
        <v>Base caseCOMPASS</v>
      </c>
      <c r="C21" s="37" t="s">
        <v>13</v>
      </c>
      <c r="D21" s="50">
        <v>0</v>
      </c>
      <c r="E21" s="72">
        <v>0.1</v>
      </c>
      <c r="F21" s="74">
        <v>0</v>
      </c>
      <c r="G21" s="50">
        <v>0</v>
      </c>
      <c r="H21" s="72">
        <v>0.1</v>
      </c>
      <c r="I21" s="72">
        <v>0.1</v>
      </c>
      <c r="K21" s="1"/>
      <c r="L21" s="1"/>
      <c r="M21" s="1"/>
      <c r="N21" s="1"/>
      <c r="O21" s="1"/>
      <c r="P21" s="1"/>
      <c r="Q21" s="1"/>
      <c r="R21" s="1"/>
      <c r="S21" s="1"/>
      <c r="T21" s="1"/>
      <c r="U21" s="1"/>
      <c r="V21" s="1"/>
      <c r="W21" s="1"/>
      <c r="X21" s="1"/>
    </row>
    <row r="22" spans="2:24">
      <c r="B22" s="1" t="str">
        <f t="shared" si="7"/>
        <v>Base caseiCCM Nutrition</v>
      </c>
      <c r="C22" s="37" t="s">
        <v>14</v>
      </c>
      <c r="D22" s="74">
        <v>0</v>
      </c>
      <c r="E22" s="72">
        <v>0.25</v>
      </c>
      <c r="F22" s="50">
        <v>0</v>
      </c>
      <c r="G22" s="72">
        <v>0.05</v>
      </c>
      <c r="H22" s="72">
        <v>0.1</v>
      </c>
      <c r="I22" s="72">
        <v>0.1</v>
      </c>
      <c r="K22" s="1"/>
      <c r="L22" s="1"/>
      <c r="M22" s="1"/>
      <c r="N22" s="1"/>
      <c r="O22" s="1"/>
      <c r="P22" s="1"/>
      <c r="Q22" s="1"/>
      <c r="R22" s="1"/>
      <c r="S22" s="1"/>
      <c r="T22" s="1"/>
      <c r="U22" s="1"/>
      <c r="V22" s="1"/>
      <c r="W22" s="1"/>
      <c r="X22" s="1"/>
    </row>
    <row r="23" spans="2:24" ht="13" thickBot="1">
      <c r="B23" s="1" t="str">
        <f t="shared" si="7"/>
        <v>Base caseMUAC only</v>
      </c>
      <c r="C23" s="85" t="s">
        <v>15</v>
      </c>
      <c r="D23" s="86">
        <v>0</v>
      </c>
      <c r="E23" s="87">
        <v>0.1</v>
      </c>
      <c r="F23" s="86">
        <v>0</v>
      </c>
      <c r="G23" s="86">
        <v>0</v>
      </c>
      <c r="H23" s="87">
        <v>0.1</v>
      </c>
      <c r="I23" s="87">
        <v>0.1</v>
      </c>
      <c r="K23" s="1"/>
      <c r="L23" s="1"/>
      <c r="M23" s="1"/>
      <c r="N23" s="1"/>
      <c r="O23" s="1"/>
      <c r="P23" s="1"/>
      <c r="Q23" s="1"/>
      <c r="R23" s="1"/>
      <c r="S23" s="1"/>
      <c r="T23" s="1"/>
      <c r="U23" s="1"/>
      <c r="V23" s="1"/>
      <c r="W23" s="1"/>
      <c r="X23" s="1"/>
    </row>
    <row r="24" spans="2:24" ht="13" thickTop="1">
      <c r="B24" s="1" t="str">
        <f t="shared" si="7"/>
        <v>Base caseMaximum</v>
      </c>
      <c r="C24" s="82" t="s">
        <v>85</v>
      </c>
      <c r="D24" s="83">
        <v>1</v>
      </c>
      <c r="E24" s="84">
        <v>0.9</v>
      </c>
      <c r="F24" s="84">
        <v>1</v>
      </c>
      <c r="G24" s="83">
        <v>1</v>
      </c>
      <c r="H24" s="83">
        <v>1</v>
      </c>
      <c r="I24" s="83">
        <v>0.99</v>
      </c>
      <c r="K24" s="1"/>
      <c r="L24" s="1"/>
      <c r="M24" s="1"/>
      <c r="N24" s="1"/>
      <c r="O24" s="1"/>
      <c r="P24" s="1"/>
      <c r="Q24" s="1"/>
      <c r="R24" s="1"/>
      <c r="S24" s="1"/>
      <c r="T24" s="1"/>
      <c r="U24" s="1"/>
      <c r="V24" s="1"/>
      <c r="W24" s="1"/>
      <c r="X24" s="1"/>
    </row>
    <row r="25" spans="2:24">
      <c r="C25" s="1"/>
      <c r="D25" s="1"/>
      <c r="E25" s="1"/>
      <c r="F25" s="1"/>
      <c r="G25" s="1"/>
      <c r="H25" s="1"/>
      <c r="J25"/>
      <c r="K25" s="1"/>
      <c r="L25" s="1"/>
      <c r="M25" s="1"/>
      <c r="N25" s="1"/>
      <c r="O25" s="1"/>
      <c r="P25" s="1"/>
    </row>
    <row r="26" spans="2:24" s="123" customFormat="1">
      <c r="C26" s="124" t="s">
        <v>104</v>
      </c>
    </row>
    <row r="27" spans="2:24" s="1" customFormat="1"/>
    <row r="28" spans="2:24">
      <c r="B28" s="1"/>
      <c r="C28" s="58" t="s">
        <v>104</v>
      </c>
      <c r="D28" s="39" t="s">
        <v>18</v>
      </c>
      <c r="E28" s="39" t="s">
        <v>19</v>
      </c>
      <c r="F28" s="39" t="s">
        <v>16</v>
      </c>
      <c r="G28" s="39" t="s">
        <v>17</v>
      </c>
      <c r="H28" s="39" t="s">
        <v>20</v>
      </c>
      <c r="I28" s="39" t="s">
        <v>21</v>
      </c>
      <c r="J28"/>
      <c r="K28" s="1"/>
      <c r="L28" s="1"/>
      <c r="M28" s="1"/>
      <c r="N28" s="1"/>
      <c r="O28" s="1"/>
      <c r="P28" s="1"/>
    </row>
    <row r="29" spans="2:24">
      <c r="B29" s="1" t="str">
        <f t="shared" ref="B29:B35" si="8">$C$28&amp;C29</f>
        <v>Best caseLocal production</v>
      </c>
      <c r="C29" s="37" t="s">
        <v>11</v>
      </c>
      <c r="D29" s="50">
        <f>D18*2</f>
        <v>0</v>
      </c>
      <c r="E29" s="50">
        <f t="shared" ref="E29:I29" si="9">E18*2</f>
        <v>0</v>
      </c>
      <c r="F29" s="72">
        <f t="shared" si="9"/>
        <v>1</v>
      </c>
      <c r="G29" s="50">
        <f t="shared" si="9"/>
        <v>0</v>
      </c>
      <c r="H29" s="50">
        <f t="shared" si="9"/>
        <v>0</v>
      </c>
      <c r="I29" s="50">
        <f t="shared" si="9"/>
        <v>0</v>
      </c>
      <c r="J29"/>
      <c r="K29" s="1"/>
      <c r="L29" s="1"/>
      <c r="M29" s="1"/>
      <c r="N29" s="1"/>
      <c r="O29" s="1"/>
      <c r="P29" s="1"/>
    </row>
    <row r="30" spans="2:24">
      <c r="B30" s="1" t="str">
        <f t="shared" si="8"/>
        <v>Best caseMANGO</v>
      </c>
      <c r="C30" s="37" t="s">
        <v>12</v>
      </c>
      <c r="D30" s="50">
        <f t="shared" ref="D30:I30" si="10">D19*2</f>
        <v>0</v>
      </c>
      <c r="E30" s="50">
        <f t="shared" si="10"/>
        <v>0</v>
      </c>
      <c r="F30" s="72">
        <f t="shared" si="10"/>
        <v>2</v>
      </c>
      <c r="G30" s="50">
        <f t="shared" si="10"/>
        <v>0</v>
      </c>
      <c r="H30" s="50">
        <f t="shared" si="10"/>
        <v>0</v>
      </c>
      <c r="I30" s="50">
        <f t="shared" si="10"/>
        <v>0</v>
      </c>
      <c r="J30"/>
      <c r="K30" s="1"/>
      <c r="L30" s="1"/>
      <c r="M30" s="1"/>
      <c r="N30" s="1"/>
      <c r="O30" s="1"/>
      <c r="P30" s="1"/>
    </row>
    <row r="31" spans="2:24">
      <c r="B31" s="1" t="str">
        <f t="shared" si="8"/>
        <v>Best caseFamily MUAC</v>
      </c>
      <c r="C31" s="37" t="s">
        <v>135</v>
      </c>
      <c r="D31" s="72">
        <f t="shared" ref="D31:I31" si="11">D20*2</f>
        <v>2</v>
      </c>
      <c r="E31" s="50">
        <f t="shared" si="11"/>
        <v>0</v>
      </c>
      <c r="F31" s="50">
        <f t="shared" si="11"/>
        <v>0</v>
      </c>
      <c r="G31" s="50">
        <f t="shared" si="11"/>
        <v>0</v>
      </c>
      <c r="H31" s="50">
        <f t="shared" si="11"/>
        <v>0</v>
      </c>
      <c r="I31" s="72">
        <f t="shared" si="11"/>
        <v>0.2</v>
      </c>
      <c r="J31"/>
      <c r="K31" s="1"/>
      <c r="L31" s="1"/>
      <c r="M31" s="1"/>
      <c r="N31" s="1"/>
      <c r="O31" s="1"/>
      <c r="P31" s="1"/>
    </row>
    <row r="32" spans="2:24">
      <c r="B32" s="1" t="str">
        <f t="shared" si="8"/>
        <v>Best caseCOMPASS</v>
      </c>
      <c r="C32" s="37" t="s">
        <v>13</v>
      </c>
      <c r="D32" s="50">
        <f t="shared" ref="D32:I33" si="12">D21*2</f>
        <v>0</v>
      </c>
      <c r="E32" s="72">
        <f t="shared" si="12"/>
        <v>0.2</v>
      </c>
      <c r="F32" s="74">
        <f t="shared" si="12"/>
        <v>0</v>
      </c>
      <c r="G32" s="50">
        <f t="shared" si="12"/>
        <v>0</v>
      </c>
      <c r="H32" s="72">
        <f t="shared" si="12"/>
        <v>0.2</v>
      </c>
      <c r="I32" s="72">
        <f t="shared" si="12"/>
        <v>0.2</v>
      </c>
      <c r="J32"/>
      <c r="K32" s="1"/>
      <c r="L32" s="1"/>
      <c r="M32" s="1"/>
      <c r="N32" s="1"/>
      <c r="O32" s="1"/>
      <c r="P32" s="1"/>
    </row>
    <row r="33" spans="2:16">
      <c r="B33" s="1" t="str">
        <f t="shared" si="8"/>
        <v>Best caseiCCM Nutrition</v>
      </c>
      <c r="C33" s="37" t="s">
        <v>14</v>
      </c>
      <c r="D33" s="72">
        <f t="shared" ref="D33:I33" si="13">D22*2</f>
        <v>0</v>
      </c>
      <c r="E33" s="72">
        <f t="shared" si="13"/>
        <v>0.5</v>
      </c>
      <c r="F33" s="50">
        <f t="shared" si="13"/>
        <v>0</v>
      </c>
      <c r="G33" s="72">
        <f t="shared" si="12"/>
        <v>0.1</v>
      </c>
      <c r="H33" s="72">
        <f t="shared" si="13"/>
        <v>0.2</v>
      </c>
      <c r="I33" s="72">
        <f t="shared" si="13"/>
        <v>0.2</v>
      </c>
      <c r="J33"/>
      <c r="K33" s="1"/>
      <c r="L33" s="1"/>
      <c r="M33" s="1"/>
      <c r="N33" s="1"/>
      <c r="O33" s="1"/>
      <c r="P33" s="1"/>
    </row>
    <row r="34" spans="2:16" ht="13" thickBot="1">
      <c r="B34" s="1" t="str">
        <f t="shared" si="8"/>
        <v>Best caseMUAC only</v>
      </c>
      <c r="C34" s="85" t="s">
        <v>15</v>
      </c>
      <c r="D34" s="86">
        <f t="shared" ref="D34:I34" si="14">D23*2</f>
        <v>0</v>
      </c>
      <c r="E34" s="87">
        <f t="shared" si="14"/>
        <v>0.2</v>
      </c>
      <c r="F34" s="86">
        <f t="shared" si="14"/>
        <v>0</v>
      </c>
      <c r="G34" s="86">
        <f t="shared" si="14"/>
        <v>0</v>
      </c>
      <c r="H34" s="87">
        <f t="shared" si="14"/>
        <v>0.2</v>
      </c>
      <c r="I34" s="87">
        <f t="shared" si="14"/>
        <v>0.2</v>
      </c>
      <c r="J34"/>
      <c r="K34" s="1"/>
      <c r="L34" s="1"/>
      <c r="M34" s="1"/>
      <c r="N34" s="1"/>
      <c r="O34" s="1"/>
      <c r="P34" s="1"/>
    </row>
    <row r="35" spans="2:16" ht="13" thickTop="1">
      <c r="B35" s="1" t="str">
        <f t="shared" si="8"/>
        <v>Best caseMaximum</v>
      </c>
      <c r="C35" s="82" t="s">
        <v>85</v>
      </c>
      <c r="D35" s="83">
        <v>1</v>
      </c>
      <c r="E35" s="84">
        <v>1</v>
      </c>
      <c r="F35" s="84">
        <v>1</v>
      </c>
      <c r="G35" s="83">
        <v>1</v>
      </c>
      <c r="H35" s="83">
        <v>1</v>
      </c>
      <c r="I35" s="83">
        <v>1</v>
      </c>
      <c r="J35"/>
      <c r="K35" s="1"/>
      <c r="L35" s="1"/>
      <c r="M35" s="1"/>
      <c r="N35" s="1"/>
      <c r="O35" s="1"/>
      <c r="P35" s="1"/>
    </row>
    <row r="37" spans="2:16" s="1" customFormat="1">
      <c r="C37" s="43"/>
      <c r="D37" s="43"/>
      <c r="E37" s="43"/>
      <c r="F37" s="43"/>
    </row>
    <row r="38" spans="2:16" s="127" customFormat="1">
      <c r="C38" s="126" t="s">
        <v>142</v>
      </c>
    </row>
    <row r="39" spans="2:16" s="1" customFormat="1"/>
    <row r="40" spans="2:16" s="1" customFormat="1">
      <c r="C40" s="63" t="s">
        <v>24</v>
      </c>
      <c r="D40" s="51" t="s">
        <v>143</v>
      </c>
      <c r="E40" s="51" t="s">
        <v>145</v>
      </c>
      <c r="F40" s="51" t="s">
        <v>146</v>
      </c>
      <c r="G40" s="51" t="s">
        <v>147</v>
      </c>
      <c r="H40" s="51" t="s">
        <v>151</v>
      </c>
      <c r="I40" s="75" t="s">
        <v>150</v>
      </c>
    </row>
    <row r="41" spans="2:16" s="1" customFormat="1">
      <c r="C41" s="37" t="s">
        <v>93</v>
      </c>
      <c r="D41" s="73">
        <v>3200000</v>
      </c>
      <c r="E41" s="73">
        <f>1000000*PRODUCT('Detailed Assumptions'!D27:G27)</f>
        <v>120000.00000000001</v>
      </c>
      <c r="F41" s="73">
        <v>3200000</v>
      </c>
      <c r="G41" s="73">
        <v>3200000</v>
      </c>
      <c r="H41" s="73">
        <v>3200000</v>
      </c>
    </row>
    <row r="42" spans="2:16" s="1" customFormat="1">
      <c r="C42" s="37" t="s">
        <v>58</v>
      </c>
      <c r="D42" s="90">
        <f>D41*'Detailed Assumptions'!$H$27*'Detailed Assumptions'!$I$27</f>
        <v>2560000</v>
      </c>
      <c r="E42" s="90">
        <f>E41*'Detailed Assumptions'!$H$27*'Detailed Assumptions'!$I$27</f>
        <v>96000.000000000015</v>
      </c>
      <c r="F42" s="90">
        <f>F41*'Detailed Assumptions'!$H$27*'Detailed Assumptions'!$I$27</f>
        <v>2560000</v>
      </c>
      <c r="G42" s="90">
        <f>G41*'Detailed Assumptions'!$H$27*'Detailed Assumptions'!$I$27</f>
        <v>2560000</v>
      </c>
      <c r="H42" s="90">
        <f>H41*'Detailed Assumptions'!$H$27*'Detailed Assumptions'!$I$27</f>
        <v>2560000</v>
      </c>
    </row>
    <row r="43" spans="2:16" s="1" customFormat="1">
      <c r="C43" s="37" t="s">
        <v>35</v>
      </c>
      <c r="D43" s="89">
        <v>-0.01</v>
      </c>
      <c r="E43" s="89">
        <v>-0.01</v>
      </c>
      <c r="F43" s="89">
        <v>-0.01</v>
      </c>
      <c r="G43" s="89">
        <v>-0.01</v>
      </c>
      <c r="H43" s="89">
        <v>-0.01</v>
      </c>
    </row>
    <row r="44" spans="2:16" s="1" customFormat="1"/>
  </sheetData>
  <pageMargins left="0.2361111111111111" right="0.2361111111111111" top="0.75" bottom="0.75" header="0.31944444444444442" footer="0.31944444444444442"/>
  <pageSetup orientation="landscape"/>
  <headerFooter>
    <oddFooter>&amp;CPage &amp;P of &amp;N</oddFooter>
  </headerFooter>
  <customProperties>
    <customPr name="SheetId" r:id="rId1"/>
  </customPropertie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3"/>
  </sheetPr>
  <dimension ref="B2:I29"/>
  <sheetViews>
    <sheetView showGridLines="0" zoomScale="85" zoomScaleNormal="85" zoomScalePageLayoutView="85" workbookViewId="0">
      <selection activeCell="G29" sqref="G29"/>
    </sheetView>
  </sheetViews>
  <sheetFormatPr baseColWidth="10" defaultColWidth="9.1640625" defaultRowHeight="12" x14ac:dyDescent="0"/>
  <cols>
    <col min="1" max="1" width="9.1640625" style="1"/>
    <col min="2" max="2" width="15.83203125" style="38" customWidth="1"/>
    <col min="3" max="3" width="44.5" style="1" bestFit="1" customWidth="1"/>
    <col min="4" max="9" width="22.33203125" style="1" bestFit="1" customWidth="1"/>
    <col min="10" max="16384" width="9.1640625" style="1"/>
  </cols>
  <sheetData>
    <row r="2" spans="2:9">
      <c r="D2" s="33"/>
    </row>
    <row r="3" spans="2:9">
      <c r="C3" s="64" t="s">
        <v>133</v>
      </c>
      <c r="D3" s="40">
        <v>2015</v>
      </c>
      <c r="E3" s="40">
        <v>2016</v>
      </c>
      <c r="F3" s="40">
        <v>2017</v>
      </c>
      <c r="G3" s="40">
        <v>2018</v>
      </c>
      <c r="H3" s="40">
        <v>2019</v>
      </c>
      <c r="I3" s="40">
        <v>2020</v>
      </c>
    </row>
    <row r="4" spans="2:9">
      <c r="C4" s="48" t="s">
        <v>33</v>
      </c>
      <c r="D4" s="55">
        <f>'Detailed Assumptions'!D22/(PRODUCT('Detailed Assumptions'!E27:I27)*MIN('Detailed Assumptions'!D27:D27))</f>
        <v>26666666.666666668</v>
      </c>
      <c r="E4" s="53">
        <f>D4*(1+'Detailed Assumptions'!$D$23)</f>
        <v>26400000</v>
      </c>
      <c r="F4" s="53">
        <f>E4*(1+'Detailed Assumptions'!$D$23)</f>
        <v>26136000</v>
      </c>
      <c r="G4" s="109">
        <f>F4*(1+'Detailed Assumptions'!$D$23)</f>
        <v>25874640</v>
      </c>
      <c r="H4" s="109">
        <f>G4*(1+'Detailed Assumptions'!$D$23)</f>
        <v>25615893.600000001</v>
      </c>
      <c r="I4" s="109">
        <f>H4*(1+'Detailed Assumptions'!$D$23)</f>
        <v>25359734.664000001</v>
      </c>
    </row>
    <row r="5" spans="2:9">
      <c r="B5" s="38" t="str">
        <f t="shared" ref="B5" si="0">RIGHT(C5,LEN(C5)-2)</f>
        <v>community mobilization</v>
      </c>
      <c r="C5" s="57" t="s">
        <v>87</v>
      </c>
      <c r="D5" s="56">
        <f>INDEX('Assumption calculations'!$C$37:$I$43,MATCH(Calculations!D$3,'Assumption calculations'!$C$37:$C$43,0),MATCH(Calculations!$B5,'Assumption calculations'!$C$37:$I$37,0))</f>
        <v>0.25</v>
      </c>
      <c r="E5" s="56">
        <f>INDEX('Assumption calculations'!$C$37:$I$43,MATCH(Calculations!E$3,'Assumption calculations'!$C$37:$C$43,0),MATCH(Calculations!$B5,'Assumption calculations'!$C$37:$I$37,0))</f>
        <v>0.26250000000000001</v>
      </c>
      <c r="F5" s="56">
        <f>INDEX('Assumption calculations'!$C$37:$I$43,MATCH(Calculations!F$3,'Assumption calculations'!$C$37:$C$43,0),MATCH(Calculations!$B5,'Assumption calculations'!$C$37:$I$37,0))</f>
        <v>0.27500000000000002</v>
      </c>
      <c r="G5" s="117">
        <f>INDEX('Assumption calculations'!$C$37:$I$43,MATCH(Calculations!G$3,'Assumption calculations'!$C$37:$C$43,0),MATCH(Calculations!$B5,'Assumption calculations'!$C$37:$I$37,0))</f>
        <v>0.28749999999999998</v>
      </c>
      <c r="H5" s="117">
        <f>INDEX('Assumption calculations'!$C$37:$I$43,MATCH(Calculations!H$3,'Assumption calculations'!$C$37:$C$43,0),MATCH(Calculations!$B5,'Assumption calculations'!$C$37:$I$37,0))</f>
        <v>0.3</v>
      </c>
      <c r="I5" s="117">
        <f>INDEX('Assumption calculations'!$C$37:$I$43,MATCH(Calculations!I$3,'Assumption calculations'!$C$37:$C$43,0),MATCH(Calculations!$B5,'Assumption calculations'!$C$37:$I$37,0))</f>
        <v>0.3125</v>
      </c>
    </row>
    <row r="6" spans="2:9" s="33" customFormat="1">
      <c r="B6" s="38"/>
      <c r="C6" s="48" t="s">
        <v>120</v>
      </c>
      <c r="D6" s="53">
        <f>D4*D5</f>
        <v>6666666.666666667</v>
      </c>
      <c r="E6" s="53">
        <f t="shared" ref="E6:I6" si="1">E4*E5</f>
        <v>6930000</v>
      </c>
      <c r="F6" s="53">
        <f t="shared" si="1"/>
        <v>7187400.0000000009</v>
      </c>
      <c r="G6" s="109">
        <f t="shared" si="1"/>
        <v>7438958.9999999991</v>
      </c>
      <c r="H6" s="109">
        <f t="shared" si="1"/>
        <v>7684768.0800000001</v>
      </c>
      <c r="I6" s="109">
        <f t="shared" si="1"/>
        <v>7924917.0825000005</v>
      </c>
    </row>
    <row r="7" spans="2:9">
      <c r="C7" s="35"/>
      <c r="D7" s="36"/>
      <c r="E7" s="36"/>
      <c r="F7" s="36"/>
      <c r="G7" s="37"/>
      <c r="H7" s="37"/>
      <c r="I7" s="37"/>
    </row>
    <row r="8" spans="2:9">
      <c r="C8" s="46" t="s">
        <v>120</v>
      </c>
      <c r="D8" s="41">
        <f>D6</f>
        <v>6666666.666666667</v>
      </c>
      <c r="E8" s="41">
        <f>E6</f>
        <v>6930000</v>
      </c>
      <c r="F8" s="41">
        <f t="shared" ref="F8:I8" si="2">F6</f>
        <v>7187400.0000000009</v>
      </c>
      <c r="G8" s="118">
        <f t="shared" si="2"/>
        <v>7438958.9999999991</v>
      </c>
      <c r="H8" s="118">
        <f t="shared" si="2"/>
        <v>7684768.0800000001</v>
      </c>
      <c r="I8" s="118">
        <f t="shared" si="2"/>
        <v>7924917.0825000005</v>
      </c>
    </row>
    <row r="9" spans="2:9" s="44" customFormat="1">
      <c r="B9" s="38" t="str">
        <f t="shared" ref="B9:B21" si="3">RIGHT(C9,LEN(C9)-2)</f>
        <v>utilization of services</v>
      </c>
      <c r="C9" s="57" t="s">
        <v>25</v>
      </c>
      <c r="D9" s="56">
        <f>INDEX('Assumption calculations'!$C$37:$I$43,MATCH(Calculations!D$3,'Assumption calculations'!$C$37:$C$43,0),MATCH(Calculations!$B9,'Assumption calculations'!$C$37:$I$37,0))</f>
        <v>0.5161290322580645</v>
      </c>
      <c r="E9" s="56">
        <f>INDEX('Assumption calculations'!$C$37:$I$43,MATCH(Calculations!E$3,'Assumption calculations'!$C$37:$C$43,0),MATCH(Calculations!$B9,'Assumption calculations'!$C$37:$I$37,0))</f>
        <v>0.5161290322580645</v>
      </c>
      <c r="F9" s="56">
        <f>INDEX('Assumption calculations'!$C$37:$I$43,MATCH(Calculations!F$3,'Assumption calculations'!$C$37:$C$43,0),MATCH(Calculations!$B9,'Assumption calculations'!$C$37:$I$37,0))</f>
        <v>0.5161290322580645</v>
      </c>
      <c r="G9" s="117">
        <f>INDEX('Assumption calculations'!$C$37:$I$43,MATCH(Calculations!G$3,'Assumption calculations'!$C$37:$C$43,0),MATCH(Calculations!$B9,'Assumption calculations'!$C$37:$I$37,0))</f>
        <v>0.52454032258064509</v>
      </c>
      <c r="H9" s="117">
        <f>INDEX('Assumption calculations'!$C$37:$I$43,MATCH(Calculations!H$3,'Assumption calculations'!$C$37:$C$43,0),MATCH(Calculations!$B9,'Assumption calculations'!$C$37:$I$37,0))</f>
        <v>0.53831016129032261</v>
      </c>
      <c r="I9" s="117">
        <f>INDEX('Assumption calculations'!$C$37:$I$43,MATCH(Calculations!I$3,'Assumption calculations'!$C$37:$C$43,0),MATCH(Calculations!$B9,'Assumption calculations'!$C$37:$I$37,0))</f>
        <v>0.56274919354838726</v>
      </c>
    </row>
    <row r="10" spans="2:9">
      <c r="C10" s="46" t="s">
        <v>26</v>
      </c>
      <c r="D10" s="41">
        <f>D8*D9</f>
        <v>3440860.2150537637</v>
      </c>
      <c r="E10" s="41">
        <f>E8*E9</f>
        <v>3576774.1935483869</v>
      </c>
      <c r="F10" s="41">
        <f t="shared" ref="F10:I10" si="4">F8*F9</f>
        <v>3709625.8064516131</v>
      </c>
      <c r="G10" s="118">
        <f t="shared" si="4"/>
        <v>3902033.9535241923</v>
      </c>
      <c r="H10" s="118">
        <f t="shared" si="4"/>
        <v>4136788.7446235227</v>
      </c>
      <c r="I10" s="118">
        <f t="shared" si="4"/>
        <v>4459740.6971147135</v>
      </c>
    </row>
    <row r="11" spans="2:9">
      <c r="B11" s="38" t="str">
        <f t="shared" ref="B11" si="5">RIGHT(C11,LEN(C11)-2)</f>
        <v>commodity availability</v>
      </c>
      <c r="C11" s="57" t="s">
        <v>89</v>
      </c>
      <c r="D11" s="56">
        <f>INDEX('Assumption calculations'!$C$37:$I$43,MATCH(Calculations!D$3,'Assumption calculations'!$C$37:$C$43,0),MATCH(Calculations!$B11,'Assumption calculations'!$C$37:$I$37,0))</f>
        <v>0.93</v>
      </c>
      <c r="E11" s="56">
        <f>INDEX('Assumption calculations'!$C$37:$I$43,MATCH(Calculations!E$3,'Assumption calculations'!$C$37:$C$43,0),MATCH(Calculations!$B11,'Assumption calculations'!$C$37:$I$37,0))</f>
        <v>0.92620009620009625</v>
      </c>
      <c r="F11" s="56">
        <f>INDEX('Assumption calculations'!$C$37:$I$43,MATCH(Calculations!F$3,'Assumption calculations'!$C$37:$C$43,0),MATCH(Calculations!$B11,'Assumption calculations'!$C$37:$I$37,0))</f>
        <v>0.92641873278236919</v>
      </c>
      <c r="G11" s="117">
        <f>INDEX('Assumption calculations'!$C$37:$I$43,MATCH(Calculations!G$3,'Assumption calculations'!$C$37:$C$43,0),MATCH(Calculations!$B11,'Assumption calculations'!$C$37:$I$37,0))</f>
        <v>0.94819575513441456</v>
      </c>
      <c r="H11" s="117">
        <f>INDEX('Assumption calculations'!$C$37:$I$43,MATCH(Calculations!H$3,'Assumption calculations'!$C$37:$C$43,0),MATCH(Calculations!$B11,'Assumption calculations'!$C$37:$I$37,0))</f>
        <v>1</v>
      </c>
      <c r="I11" s="117">
        <f>INDEX('Assumption calculations'!$C$37:$I$43,MATCH(Calculations!I$3,'Assumption calculations'!$C$37:$C$43,0),MATCH(Calculations!$B11,'Assumption calculations'!$C$37:$I$37,0))</f>
        <v>1</v>
      </c>
    </row>
    <row r="12" spans="2:9">
      <c r="C12" s="46" t="s">
        <v>132</v>
      </c>
      <c r="D12" s="41">
        <f>D10*D11</f>
        <v>3200000.0000000005</v>
      </c>
      <c r="E12" s="41">
        <f>E10*E11</f>
        <v>3312808.6021505375</v>
      </c>
      <c r="F12" s="41">
        <f t="shared" ref="F12:I12" si="6">F10*F11</f>
        <v>3436666.8387096776</v>
      </c>
      <c r="G12" s="118">
        <f t="shared" si="6"/>
        <v>3699892.0311219967</v>
      </c>
      <c r="H12" s="118">
        <f t="shared" si="6"/>
        <v>4136788.7446235227</v>
      </c>
      <c r="I12" s="118">
        <f t="shared" si="6"/>
        <v>4459740.6971147135</v>
      </c>
    </row>
    <row r="13" spans="2:9">
      <c r="C13" s="46" t="s">
        <v>116</v>
      </c>
      <c r="D13" s="106">
        <f>'Detailed Assumptions'!D30</f>
        <v>3200000</v>
      </c>
      <c r="E13" s="106">
        <f>'Detailed Assumptions'!F30</f>
        <v>6400000</v>
      </c>
      <c r="F13" s="106">
        <f>'Detailed Assumptions'!G30</f>
        <v>12800000</v>
      </c>
      <c r="G13" s="119">
        <f>'Detailed Assumptions'!H30</f>
        <v>25600000</v>
      </c>
      <c r="H13" s="119">
        <f>'Detailed Assumptions'!I30</f>
        <v>51200000</v>
      </c>
      <c r="I13" s="119">
        <f>'Detailed Assumptions'!J30</f>
        <v>102400000</v>
      </c>
    </row>
    <row r="14" spans="2:9">
      <c r="C14" s="46" t="s">
        <v>131</v>
      </c>
      <c r="D14" s="41">
        <f>MIN(D12,D13)</f>
        <v>3200000</v>
      </c>
      <c r="E14" s="41">
        <f t="shared" ref="E14:I14" si="7">MIN(E12,E13)</f>
        <v>3312808.6021505375</v>
      </c>
      <c r="F14" s="41">
        <f t="shared" si="7"/>
        <v>3436666.8387096776</v>
      </c>
      <c r="G14" s="118">
        <f t="shared" si="7"/>
        <v>3699892.0311219967</v>
      </c>
      <c r="H14" s="118">
        <f t="shared" si="7"/>
        <v>4136788.7446235227</v>
      </c>
      <c r="I14" s="118">
        <f t="shared" si="7"/>
        <v>4459740.6971147135</v>
      </c>
    </row>
    <row r="15" spans="2:9">
      <c r="B15" s="38" t="str">
        <f t="shared" ref="B15" si="8">RIGHT(C15,LEN(C15)-2)</f>
        <v>human resources</v>
      </c>
      <c r="C15" s="57" t="s">
        <v>88</v>
      </c>
      <c r="D15" s="56">
        <f>INDEX('Assumption calculations'!$C$37:$I$43,MATCH(Calculations!D$3,'Assumption calculations'!$C$37:$C$43,0),MATCH(Calculations!$B15,'Assumption calculations'!$C$37:$I$37,0))</f>
        <v>1</v>
      </c>
      <c r="E15" s="56">
        <f>INDEX('Assumption calculations'!$C$37:$I$43,MATCH(Calculations!E$3,'Assumption calculations'!$C$37:$C$43,0),MATCH(Calculations!$B15,'Assumption calculations'!$C$37:$I$37,0))</f>
        <v>0.99589731871601661</v>
      </c>
      <c r="F15" s="56">
        <f>INDEX('Assumption calculations'!$C$37:$I$43,MATCH(Calculations!F$3,'Assumption calculations'!$C$37:$C$43,0),MATCH(Calculations!$B15,'Assumption calculations'!$C$37:$I$37,0))</f>
        <v>0.99613428885783106</v>
      </c>
      <c r="G15" s="117">
        <f>INDEX('Assumption calculations'!$C$37:$I$43,MATCH(Calculations!G$3,'Assumption calculations'!$C$37:$C$43,0),MATCH(Calculations!$B15,'Assumption calculations'!$C$37:$I$37,0))</f>
        <v>0.99728662712809568</v>
      </c>
      <c r="H15" s="117">
        <f>INDEX('Assumption calculations'!$C$37:$I$43,MATCH(Calculations!H$3,'Assumption calculations'!$C$37:$C$43,0),MATCH(Calculations!$B15,'Assumption calculations'!$C$37:$I$37,0))</f>
        <v>0.99929681862866548</v>
      </c>
      <c r="I15" s="117">
        <f>INDEX('Assumption calculations'!$C$37:$I$43,MATCH(Calculations!I$3,'Assumption calculations'!$C$37:$C$43,0),MATCH(Calculations!$B15,'Assumption calculations'!$C$37:$I$37,0))</f>
        <v>1</v>
      </c>
    </row>
    <row r="16" spans="2:9">
      <c r="C16" s="46" t="s">
        <v>130</v>
      </c>
      <c r="D16" s="41">
        <f>D14*D15</f>
        <v>3200000</v>
      </c>
      <c r="E16" s="41">
        <f t="shared" ref="E16:I16" si="9">E14*E15</f>
        <v>3299217.2043010755</v>
      </c>
      <c r="F16" s="41">
        <f t="shared" si="9"/>
        <v>3423381.6774193551</v>
      </c>
      <c r="G16" s="118">
        <f t="shared" si="9"/>
        <v>3689852.8444557753</v>
      </c>
      <c r="H16" s="118">
        <f t="shared" si="9"/>
        <v>4133879.8318411573</v>
      </c>
      <c r="I16" s="118">
        <f t="shared" si="9"/>
        <v>4459740.6971147135</v>
      </c>
    </row>
    <row r="17" spans="2:9" s="38" customFormat="1">
      <c r="B17" s="38" t="str">
        <f t="shared" si="3"/>
        <v>continuity of services</v>
      </c>
      <c r="C17" s="47" t="s">
        <v>27</v>
      </c>
      <c r="D17" s="56">
        <f>INDEX('Assumption calculations'!$C$37:$I$43,MATCH(Calculations!D$3,'Assumption calculations'!$C$37:$C$43,0),MATCH(Calculations!$B17,'Assumption calculations'!$C$37:$I$37,0))</f>
        <v>0.92</v>
      </c>
      <c r="E17" s="56">
        <f>INDEX('Assumption calculations'!$C$37:$I$43,MATCH(Calculations!E$3,'Assumption calculations'!$C$37:$C$43,0),MATCH(Calculations!$B17,'Assumption calculations'!$C$37:$I$37,0))</f>
        <v>0.92</v>
      </c>
      <c r="F17" s="56">
        <f>INDEX('Assumption calculations'!$C$37:$I$43,MATCH(Calculations!F$3,'Assumption calculations'!$C$37:$C$43,0),MATCH(Calculations!$B17,'Assumption calculations'!$C$37:$I$37,0))</f>
        <v>0.92</v>
      </c>
      <c r="G17" s="117">
        <f>INDEX('Assumption calculations'!$C$37:$I$43,MATCH(Calculations!G$3,'Assumption calculations'!$C$37:$C$43,0),MATCH(Calculations!$B17,'Assumption calculations'!$C$37:$I$37,0))</f>
        <v>0.92806724999999979</v>
      </c>
      <c r="H17" s="117">
        <f>INDEX('Assumption calculations'!$C$37:$I$43,MATCH(Calculations!H$3,'Assumption calculations'!$C$37:$C$43,0),MATCH(Calculations!$B17,'Assumption calculations'!$C$37:$I$37,0))</f>
        <v>0.94780159500000016</v>
      </c>
      <c r="I17" s="117">
        <f>INDEX('Assumption calculations'!$C$37:$I$43,MATCH(Calculations!I$3,'Assumption calculations'!$C$37:$C$43,0),MATCH(Calculations!$B17,'Assumption calculations'!$C$37:$I$37,0))</f>
        <v>0.98784367500000003</v>
      </c>
    </row>
    <row r="18" spans="2:9" s="33" customFormat="1">
      <c r="B18" s="38"/>
      <c r="C18" s="46" t="s">
        <v>129</v>
      </c>
      <c r="D18" s="53">
        <f>D16*D17</f>
        <v>2944000</v>
      </c>
      <c r="E18" s="53">
        <f>E16*E17</f>
        <v>3035279.8279569894</v>
      </c>
      <c r="F18" s="53">
        <f t="shared" ref="F18:I18" si="10">F16*F17</f>
        <v>3149511.1432258068</v>
      </c>
      <c r="G18" s="109">
        <f t="shared" si="10"/>
        <v>3424431.5822587484</v>
      </c>
      <c r="H18" s="109">
        <f t="shared" si="10"/>
        <v>3918097.8981573815</v>
      </c>
      <c r="I18" s="109">
        <f t="shared" si="10"/>
        <v>4405526.6397848604</v>
      </c>
    </row>
    <row r="19" spans="2:9">
      <c r="C19" s="35"/>
      <c r="D19" s="36"/>
      <c r="E19" s="36"/>
      <c r="F19" s="36"/>
      <c r="G19" s="37"/>
      <c r="H19" s="37"/>
      <c r="I19" s="37"/>
    </row>
    <row r="20" spans="2:9">
      <c r="C20" s="46" t="s">
        <v>129</v>
      </c>
      <c r="D20" s="41">
        <f>D18</f>
        <v>2944000</v>
      </c>
      <c r="E20" s="41">
        <f>E18</f>
        <v>3035279.8279569894</v>
      </c>
      <c r="F20" s="41">
        <f t="shared" ref="F20:I20" si="11">F18</f>
        <v>3149511.1432258068</v>
      </c>
      <c r="G20" s="118">
        <f t="shared" si="11"/>
        <v>3424431.5822587484</v>
      </c>
      <c r="H20" s="118">
        <f t="shared" si="11"/>
        <v>3918097.8981573815</v>
      </c>
      <c r="I20" s="118">
        <f t="shared" si="11"/>
        <v>4405526.6397848604</v>
      </c>
    </row>
    <row r="21" spans="2:9" s="38" customFormat="1">
      <c r="B21" s="38" t="str">
        <f t="shared" si="3"/>
        <v>quality of services</v>
      </c>
      <c r="C21" s="47" t="s">
        <v>28</v>
      </c>
      <c r="D21" s="56">
        <f>INDEX('Assumption calculations'!$C$37:$I$43,MATCH(Calculations!D$3,'Assumption calculations'!$C$37:$C$43,0),MATCH(Calculations!$B21,'Assumption calculations'!$C$37:$I$37,0))</f>
        <v>0.86956521739130432</v>
      </c>
      <c r="E21" s="56">
        <f>INDEX('Assumption calculations'!$C$37:$I$43,MATCH(Calculations!E$3,'Assumption calculations'!$C$37:$C$43,0),MATCH(Calculations!$B21,'Assumption calculations'!$C$37:$I$37,0))</f>
        <v>0.87391304347826071</v>
      </c>
      <c r="F21" s="56">
        <f>INDEX('Assumption calculations'!$C$37:$I$43,MATCH(Calculations!F$3,'Assumption calculations'!$C$37:$C$43,0),MATCH(Calculations!$B21,'Assumption calculations'!$C$37:$I$37,0))</f>
        <v>0.87826086956521743</v>
      </c>
      <c r="G21" s="117">
        <f>INDEX('Assumption calculations'!$C$37:$I$43,MATCH(Calculations!G$3,'Assumption calculations'!$C$37:$C$43,0),MATCH(Calculations!$B21,'Assumption calculations'!$C$37:$I$37,0))</f>
        <v>0.88813327445652168</v>
      </c>
      <c r="H21" s="117">
        <f>INDEX('Assumption calculations'!$C$37:$I$43,MATCH(Calculations!H$3,'Assumption calculations'!$C$37:$C$43,0),MATCH(Calculations!$B21,'Assumption calculations'!$C$37:$I$37,0))</f>
        <v>0.90521455500000003</v>
      </c>
      <c r="I21" s="117">
        <f>INDEX('Assumption calculations'!$C$37:$I$43,MATCH(Calculations!I$3,'Assumption calculations'!$C$37:$C$43,0),MATCH(Calculations!$B21,'Assumption calculations'!$C$37:$I$37,0))</f>
        <v>0.94087387092391306</v>
      </c>
    </row>
    <row r="22" spans="2:9" s="33" customFormat="1">
      <c r="B22" s="38"/>
      <c r="C22" s="48" t="s">
        <v>29</v>
      </c>
      <c r="D22" s="53">
        <f>D20*D21</f>
        <v>2560000</v>
      </c>
      <c r="E22" s="53">
        <f>E20*E21</f>
        <v>2652570.6322580641</v>
      </c>
      <c r="F22" s="53">
        <f t="shared" ref="F22" si="12">F20*F21</f>
        <v>2766092.395354839</v>
      </c>
      <c r="G22" s="109">
        <f t="shared" ref="G22" si="13">G20*G21</f>
        <v>3041351.6343037896</v>
      </c>
      <c r="H22" s="109">
        <f t="shared" ref="H22" si="14">H20*H21</f>
        <v>3546719.2453269693</v>
      </c>
      <c r="I22" s="114">
        <f t="shared" ref="I22" si="15">I20*I21</f>
        <v>4145044.9030328011</v>
      </c>
    </row>
    <row r="24" spans="2:9">
      <c r="C24" s="64" t="s">
        <v>134</v>
      </c>
      <c r="D24" s="40">
        <v>2015</v>
      </c>
      <c r="E24" s="40">
        <v>2016</v>
      </c>
      <c r="F24" s="40">
        <v>2017</v>
      </c>
      <c r="G24" s="40">
        <v>2018</v>
      </c>
      <c r="H24" s="40">
        <v>2019</v>
      </c>
      <c r="I24" s="40">
        <v>2020</v>
      </c>
    </row>
    <row r="25" spans="2:9">
      <c r="C25" s="46" t="s">
        <v>56</v>
      </c>
      <c r="D25" s="65">
        <f>'Detailed Assumptions'!$D$52*INDEX('Assumption calculations'!$C$62:$G$68,MATCH(Calculations!D$24,'Assumption calculations'!$C$62:$C$68,0),MATCH(Calculations!$C25,'Assumption calculations'!$C$62:$G$62,0))</f>
        <v>57.96</v>
      </c>
      <c r="E25" s="65">
        <f>'Detailed Assumptions'!$D$52*INDEX('Assumption calculations'!$C$62:$G$68,MATCH(Calculations!E$24,'Assumption calculations'!$C$62:$C$68,0),MATCH(Calculations!$C25,'Assumption calculations'!$C$62:$G$62,0))</f>
        <v>58.459999999999994</v>
      </c>
      <c r="F25" s="65">
        <f>'Detailed Assumptions'!$D$52*INDEX('Assumption calculations'!$C$62:$G$68,MATCH(Calculations!F$24,'Assumption calculations'!$C$62:$C$68,0),MATCH(Calculations!$C25,'Assumption calculations'!$C$62:$G$62,0))</f>
        <v>58.76</v>
      </c>
      <c r="G25" s="120">
        <f>'Detailed Assumptions'!$D$52*INDEX('Assumption calculations'!$C$62:$G$68,MATCH(Calculations!G$24,'Assumption calculations'!$C$62:$C$68,0),MATCH(Calculations!$C25,'Assumption calculations'!$C$62:$G$62,0))</f>
        <v>58.509231230590061</v>
      </c>
      <c r="H25" s="120">
        <f>'Detailed Assumptions'!$D$52*INDEX('Assumption calculations'!$C$62:$G$68,MATCH(Calculations!H$24,'Assumption calculations'!$C$62:$C$68,0),MATCH(Calculations!$C25,'Assumption calculations'!$C$62:$G$62,0))</f>
        <v>57.281113513285014</v>
      </c>
      <c r="I25" s="120">
        <f>'Detailed Assumptions'!$D$52*INDEX('Assumption calculations'!$C$62:$G$68,MATCH(Calculations!I$24,'Assumption calculations'!$C$62:$C$68,0),MATCH(Calculations!$C25,'Assumption calculations'!$C$62:$G$62,0))</f>
        <v>54.336977158902691</v>
      </c>
    </row>
    <row r="26" spans="2:9">
      <c r="C26" s="46" t="s">
        <v>80</v>
      </c>
      <c r="D26" s="65">
        <f>'Detailed Assumptions'!$E$52*INDEX('Assumption calculations'!$C$62:$G$68,MATCH(Calculations!D$24,'Assumption calculations'!$C$62:$C$68,0),MATCH(Calculations!$C26,'Assumption calculations'!$C$62:$G$62,0))</f>
        <v>38.640000000000008</v>
      </c>
      <c r="E26" s="65">
        <f>'Detailed Assumptions'!$E$52*INDEX('Assumption calculations'!$C$62:$G$68,MATCH(Calculations!E$24,'Assumption calculations'!$C$62:$C$68,0),MATCH(Calculations!$C26,'Assumption calculations'!$C$62:$G$62,0))</f>
        <v>39.364500000000007</v>
      </c>
      <c r="F26" s="65">
        <f>'Detailed Assumptions'!$E$52*INDEX('Assumption calculations'!$C$62:$G$68,MATCH(Calculations!F$24,'Assumption calculations'!$C$62:$C$68,0),MATCH(Calculations!$C26,'Assumption calculations'!$C$62:$G$62,0))</f>
        <v>39.87165000000001</v>
      </c>
      <c r="G26" s="120">
        <f>'Detailed Assumptions'!$E$52*INDEX('Assumption calculations'!$C$62:$G$68,MATCH(Calculations!G$24,'Assumption calculations'!$C$62:$C$68,0),MATCH(Calculations!$C26,'Assumption calculations'!$C$62:$G$62,0))</f>
        <v>41.107583612351206</v>
      </c>
      <c r="H26" s="120">
        <f>'Detailed Assumptions'!$E$52*INDEX('Assumption calculations'!$C$62:$G$68,MATCH(Calculations!H$24,'Assumption calculations'!$C$62:$C$68,0),MATCH(Calculations!$C26,'Assumption calculations'!$C$62:$G$62,0))</f>
        <v>43.01579871564487</v>
      </c>
      <c r="I26" s="120">
        <f>'Detailed Assumptions'!$E$52*INDEX('Assumption calculations'!$C$62:$G$68,MATCH(Calculations!I$24,'Assumption calculations'!$C$62:$C$68,0),MATCH(Calculations!$C26,'Assumption calculations'!$C$62:$G$62,0))</f>
        <v>46.10073611622893</v>
      </c>
    </row>
    <row r="27" spans="2:9">
      <c r="C27" s="46" t="s">
        <v>94</v>
      </c>
      <c r="D27" s="65">
        <f>'Detailed Assumptions'!$F$52*INDEX('Assumption calculations'!$C$62:$G$68,MATCH(Calculations!D$24,'Assumption calculations'!$C$62:$C$68,0),MATCH(Calculations!$C27,'Assumption calculations'!$C$62:$G$62,0))</f>
        <v>77.280000000000015</v>
      </c>
      <c r="E27" s="65">
        <f>'Detailed Assumptions'!$F$52*INDEX('Assumption calculations'!$C$62:$G$68,MATCH(Calculations!E$24,'Assumption calculations'!$C$62:$C$68,0),MATCH(Calculations!$C27,'Assumption calculations'!$C$62:$G$62,0))</f>
        <v>77.280000000000015</v>
      </c>
      <c r="F27" s="65">
        <f>'Detailed Assumptions'!$F$52*INDEX('Assumption calculations'!$C$62:$G$68,MATCH(Calculations!F$24,'Assumption calculations'!$C$62:$C$68,0),MATCH(Calculations!$C27,'Assumption calculations'!$C$62:$G$62,0))</f>
        <v>77.280000000000015</v>
      </c>
      <c r="G27" s="120">
        <f>'Detailed Assumptions'!$F$52*INDEX('Assumption calculations'!$C$62:$G$68,MATCH(Calculations!G$24,'Assumption calculations'!$C$62:$C$68,0),MATCH(Calculations!$C27,'Assumption calculations'!$C$62:$G$62,0))</f>
        <v>78.887116977225688</v>
      </c>
      <c r="H27" s="120">
        <f>'Detailed Assumptions'!$F$52*INDEX('Assumption calculations'!$C$62:$G$68,MATCH(Calculations!H$24,'Assumption calculations'!$C$62:$C$68,0),MATCH(Calculations!$C27,'Assumption calculations'!$C$62:$G$62,0))</f>
        <v>81.740235089111394</v>
      </c>
      <c r="I27" s="120">
        <f>'Detailed Assumptions'!$F$52*INDEX('Assumption calculations'!$C$62:$G$68,MATCH(Calculations!I$24,'Assumption calculations'!$C$62:$C$68,0),MATCH(Calculations!$C27,'Assumption calculations'!$C$62:$G$62,0))</f>
        <v>86.777856218783882</v>
      </c>
    </row>
    <row r="28" spans="2:9" ht="13" thickBot="1">
      <c r="C28" s="68" t="s">
        <v>53</v>
      </c>
      <c r="D28" s="69">
        <f>'Detailed Assumptions'!$G$52*INDEX('Assumption calculations'!$C$62:$G$68,MATCH(Calculations!D$24,'Assumption calculations'!$C$62:$C$68,0),MATCH(Calculations!$C28,'Assumption calculations'!$C$62:$G$62,0))</f>
        <v>19.320000000000004</v>
      </c>
      <c r="E28" s="69">
        <f>'Detailed Assumptions'!$G$52*INDEX('Assumption calculations'!$C$62:$G$68,MATCH(Calculations!E$24,'Assumption calculations'!$C$62:$C$68,0),MATCH(Calculations!$C28,'Assumption calculations'!$C$62:$G$62,0))</f>
        <v>19.223400000000005</v>
      </c>
      <c r="F28" s="69">
        <f>'Detailed Assumptions'!$G$52*INDEX('Assumption calculations'!$C$62:$G$68,MATCH(Calculations!F$24,'Assumption calculations'!$C$62:$C$68,0),MATCH(Calculations!$C28,'Assumption calculations'!$C$62:$G$62,0))</f>
        <v>19.126800000000003</v>
      </c>
      <c r="G28" s="121">
        <f>'Detailed Assumptions'!$G$52*INDEX('Assumption calculations'!$C$62:$G$68,MATCH(Calculations!G$24,'Assumption calculations'!$C$62:$C$68,0),MATCH(Calculations!$C28,'Assumption calculations'!$C$62:$G$62,0))</f>
        <v>18.840373755000005</v>
      </c>
      <c r="H28" s="121">
        <f>'Detailed Assumptions'!$G$52*INDEX('Assumption calculations'!$C$62:$G$68,MATCH(Calculations!H$24,'Assumption calculations'!$C$62:$C$68,0),MATCH(Calculations!$C28,'Assumption calculations'!$C$62:$G$62,0))</f>
        <v>18.277531826400004</v>
      </c>
      <c r="I28" s="121">
        <f>'Detailed Assumptions'!$G$52*INDEX('Assumption calculations'!$C$62:$G$68,MATCH(Calculations!I$24,'Assumption calculations'!$C$62:$C$68,0),MATCH(Calculations!$C28,'Assumption calculations'!$C$62:$G$62,0))</f>
        <v>17.274188295000002</v>
      </c>
    </row>
    <row r="29" spans="2:9" ht="13" thickTop="1">
      <c r="C29" s="66" t="s">
        <v>46</v>
      </c>
      <c r="D29" s="67">
        <f>SUM(D25:D28)</f>
        <v>193.20000000000002</v>
      </c>
      <c r="E29" s="67">
        <f>SUM(E25:E28)</f>
        <v>194.32790000000003</v>
      </c>
      <c r="F29" s="67">
        <f t="shared" ref="F29:I29" si="16">SUM(F25:F28)</f>
        <v>195.03845000000001</v>
      </c>
      <c r="G29" s="122">
        <f t="shared" si="16"/>
        <v>197.34430557516694</v>
      </c>
      <c r="H29" s="122">
        <f t="shared" si="16"/>
        <v>200.31467914444127</v>
      </c>
      <c r="I29" s="122">
        <f t="shared" si="16"/>
        <v>204.48975778891548</v>
      </c>
    </row>
  </sheetData>
  <pageMargins left="0.23622047244094491" right="0.23622047244094491" top="0.74803149606299213" bottom="0.74803149606299213" header="0.31496062992125984" footer="0.31496062992125984"/>
  <pageSetup paperSize="9" orientation="landscape"/>
  <headerFooter>
    <oddFooter>Page &amp;P of &amp;N</oddFooter>
  </headerFooter>
  <customProperties>
    <customPr name="SheetId" r:id="rId1"/>
  </customPropertie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499984740745262"/>
  </sheetPr>
  <dimension ref="A2:AG78"/>
  <sheetViews>
    <sheetView showGridLines="0" topLeftCell="I9" zoomScale="85" zoomScaleNormal="85" zoomScalePageLayoutView="85" workbookViewId="0">
      <selection activeCell="G29" sqref="G29"/>
    </sheetView>
  </sheetViews>
  <sheetFormatPr baseColWidth="10" defaultColWidth="9.1640625" defaultRowHeight="12" x14ac:dyDescent="0"/>
  <cols>
    <col min="2" max="2" width="0" hidden="1" customWidth="1"/>
    <col min="3" max="3" width="22.33203125" bestFit="1" customWidth="1"/>
    <col min="4" max="33" width="24.5" customWidth="1"/>
  </cols>
  <sheetData>
    <row r="2" spans="3:33" s="1" customFormat="1">
      <c r="K2" s="102"/>
    </row>
    <row r="3" spans="3:33" s="1" customFormat="1">
      <c r="C3" s="58" t="s">
        <v>60</v>
      </c>
      <c r="D3" s="39">
        <v>2016</v>
      </c>
      <c r="E3" s="39">
        <v>2017</v>
      </c>
      <c r="F3" s="39">
        <v>2018</v>
      </c>
      <c r="G3" s="39">
        <v>2019</v>
      </c>
      <c r="H3" s="39">
        <v>2020</v>
      </c>
      <c r="K3" s="102"/>
    </row>
    <row r="4" spans="3:33" s="1" customFormat="1">
      <c r="C4" s="37" t="s">
        <v>11</v>
      </c>
      <c r="D4" s="45">
        <f>'Detailed Assumptions'!D11</f>
        <v>0</v>
      </c>
      <c r="E4" s="45">
        <f>'Detailed Assumptions'!E11</f>
        <v>0</v>
      </c>
      <c r="F4" s="45">
        <f>'Detailed Assumptions'!F11</f>
        <v>0.05</v>
      </c>
      <c r="G4" s="45">
        <f>'Detailed Assumptions'!G11</f>
        <v>0.1</v>
      </c>
      <c r="H4" s="45">
        <f>'Detailed Assumptions'!H11</f>
        <v>0.15</v>
      </c>
      <c r="J4" s="77"/>
      <c r="K4" s="43"/>
    </row>
    <row r="5" spans="3:33" s="1" customFormat="1">
      <c r="C5" s="37" t="s">
        <v>12</v>
      </c>
      <c r="D5" s="45">
        <f>'Detailed Assumptions'!D12</f>
        <v>0</v>
      </c>
      <c r="E5" s="45">
        <f>'Detailed Assumptions'!E12</f>
        <v>0</v>
      </c>
      <c r="F5" s="45">
        <f>'Detailed Assumptions'!F12</f>
        <v>0</v>
      </c>
      <c r="G5" s="45">
        <f>'Detailed Assumptions'!G12</f>
        <v>0.05</v>
      </c>
      <c r="H5" s="45">
        <f>'Detailed Assumptions'!H12</f>
        <v>0.2</v>
      </c>
      <c r="J5" s="77"/>
      <c r="K5" s="43"/>
    </row>
    <row r="6" spans="3:33" s="1" customFormat="1">
      <c r="C6" s="37" t="s">
        <v>135</v>
      </c>
      <c r="D6" s="45">
        <f>'Detailed Assumptions'!D13</f>
        <v>0.05</v>
      </c>
      <c r="E6" s="45">
        <f>'Detailed Assumptions'!E13</f>
        <v>0.1</v>
      </c>
      <c r="F6" s="45">
        <f>'Detailed Assumptions'!F13</f>
        <v>0.15</v>
      </c>
      <c r="G6" s="45">
        <f>'Detailed Assumptions'!G13</f>
        <v>0.2</v>
      </c>
      <c r="H6" s="45">
        <f>'Detailed Assumptions'!H13</f>
        <v>0.25</v>
      </c>
      <c r="J6" s="77"/>
      <c r="K6" s="43"/>
    </row>
    <row r="7" spans="3:33" s="1" customFormat="1">
      <c r="C7" s="37" t="s">
        <v>13</v>
      </c>
      <c r="D7" s="45">
        <f>'Detailed Assumptions'!D14</f>
        <v>0</v>
      </c>
      <c r="E7" s="45">
        <f>'Detailed Assumptions'!E14</f>
        <v>0</v>
      </c>
      <c r="F7" s="45">
        <f>'Detailed Assumptions'!F14</f>
        <v>0</v>
      </c>
      <c r="G7" s="45">
        <f>'Detailed Assumptions'!G14</f>
        <v>0.05</v>
      </c>
      <c r="H7" s="45">
        <f>'Detailed Assumptions'!H14</f>
        <v>0.2</v>
      </c>
    </row>
    <row r="8" spans="3:33" s="1" customFormat="1">
      <c r="C8" s="37" t="s">
        <v>14</v>
      </c>
      <c r="D8" s="45">
        <f>'Detailed Assumptions'!D15</f>
        <v>0</v>
      </c>
      <c r="E8" s="45">
        <f>'Detailed Assumptions'!E15</f>
        <v>0</v>
      </c>
      <c r="F8" s="45">
        <f>'Detailed Assumptions'!F15</f>
        <v>0.05</v>
      </c>
      <c r="G8" s="45">
        <f>'Detailed Assumptions'!G15</f>
        <v>0.1</v>
      </c>
      <c r="H8" s="45">
        <f>'Detailed Assumptions'!H15</f>
        <v>0.15</v>
      </c>
    </row>
    <row r="9" spans="3:33" s="1" customFormat="1">
      <c r="C9" s="37" t="s">
        <v>15</v>
      </c>
      <c r="D9" s="45">
        <f>'Detailed Assumptions'!D16</f>
        <v>0</v>
      </c>
      <c r="E9" s="45">
        <f>'Detailed Assumptions'!E16</f>
        <v>0</v>
      </c>
      <c r="F9" s="45">
        <f>'Detailed Assumptions'!F16</f>
        <v>0.05</v>
      </c>
      <c r="G9" s="45">
        <f>'Detailed Assumptions'!G16</f>
        <v>0.2</v>
      </c>
      <c r="H9" s="45">
        <f>'Detailed Assumptions'!H16</f>
        <v>0.5</v>
      </c>
    </row>
    <row r="10" spans="3:33" s="1" customFormat="1"/>
    <row r="11" spans="3:33" s="61" customFormat="1">
      <c r="C11" s="62" t="s">
        <v>43</v>
      </c>
    </row>
    <row r="12" spans="3:33" s="88" customFormat="1">
      <c r="C12" s="99"/>
    </row>
    <row r="13" spans="3:33" s="3" customFormat="1" hidden="1">
      <c r="D13" s="3" t="str">
        <f t="shared" ref="D13:AG13" si="0">D15&amp;D14</f>
        <v>2016Community Mobilization</v>
      </c>
      <c r="E13" s="3" t="str">
        <f t="shared" si="0"/>
        <v>2017Community Mobilization</v>
      </c>
      <c r="F13" s="3" t="str">
        <f t="shared" si="0"/>
        <v>2018Community Mobilization</v>
      </c>
      <c r="G13" s="3" t="str">
        <f t="shared" si="0"/>
        <v>2019Community Mobilization</v>
      </c>
      <c r="H13" s="3" t="str">
        <f t="shared" si="0"/>
        <v>2020Community Mobilization</v>
      </c>
      <c r="I13" s="3" t="str">
        <f t="shared" si="0"/>
        <v>2016Utilization of services</v>
      </c>
      <c r="J13" s="3" t="str">
        <f t="shared" si="0"/>
        <v>2017Utilization of services</v>
      </c>
      <c r="K13" s="3" t="str">
        <f t="shared" si="0"/>
        <v>2018Utilization of services</v>
      </c>
      <c r="L13" s="3" t="str">
        <f t="shared" si="0"/>
        <v>2019Utilization of services</v>
      </c>
      <c r="M13" s="3" t="str">
        <f t="shared" si="0"/>
        <v>2020Utilization of services</v>
      </c>
      <c r="N13" s="3" t="str">
        <f t="shared" ref="N13:W13" si="1">N15&amp;N14</f>
        <v>2016Commodity Availability</v>
      </c>
      <c r="O13" s="3" t="str">
        <f t="shared" si="1"/>
        <v>2017Commodity Availability</v>
      </c>
      <c r="P13" s="3" t="str">
        <f t="shared" si="1"/>
        <v>2018Commodity Availability</v>
      </c>
      <c r="Q13" s="3" t="str">
        <f t="shared" si="1"/>
        <v>2019Commodity Availability</v>
      </c>
      <c r="R13" s="3" t="str">
        <f t="shared" si="1"/>
        <v>2020Commodity Availability</v>
      </c>
      <c r="S13" s="3" t="str">
        <f t="shared" si="1"/>
        <v>2016Human Resources</v>
      </c>
      <c r="T13" s="3" t="str">
        <f t="shared" si="1"/>
        <v>2017Human Resources</v>
      </c>
      <c r="U13" s="3" t="str">
        <f t="shared" si="1"/>
        <v>2018Human Resources</v>
      </c>
      <c r="V13" s="3" t="str">
        <f t="shared" si="1"/>
        <v>2019Human Resources</v>
      </c>
      <c r="W13" s="3" t="str">
        <f t="shared" si="1"/>
        <v>2020Human Resources</v>
      </c>
      <c r="X13" s="3" t="str">
        <f t="shared" si="0"/>
        <v>2016Continuity of services</v>
      </c>
      <c r="Y13" s="3" t="str">
        <f t="shared" si="0"/>
        <v>2017Continuity of services</v>
      </c>
      <c r="Z13" s="3" t="str">
        <f t="shared" si="0"/>
        <v>2018Continuity of services</v>
      </c>
      <c r="AA13" s="3" t="str">
        <f t="shared" si="0"/>
        <v>2019Continuity of services</v>
      </c>
      <c r="AB13" s="3" t="str">
        <f t="shared" si="0"/>
        <v>2020Continuity of services</v>
      </c>
      <c r="AC13" s="3" t="str">
        <f t="shared" si="0"/>
        <v>2016Quality of services</v>
      </c>
      <c r="AD13" s="3" t="str">
        <f t="shared" si="0"/>
        <v>2017Quality of services</v>
      </c>
      <c r="AE13" s="3" t="str">
        <f t="shared" si="0"/>
        <v>2018Quality of services</v>
      </c>
      <c r="AF13" s="3" t="str">
        <f t="shared" si="0"/>
        <v>2019Quality of services</v>
      </c>
      <c r="AG13" s="3" t="str">
        <f t="shared" si="0"/>
        <v>2020Quality of services</v>
      </c>
    </row>
    <row r="14" spans="3:33" s="1" customFormat="1">
      <c r="C14" s="38" t="s">
        <v>62</v>
      </c>
      <c r="D14" s="40" t="s">
        <v>18</v>
      </c>
      <c r="E14" s="40" t="s">
        <v>18</v>
      </c>
      <c r="F14" s="40" t="s">
        <v>18</v>
      </c>
      <c r="G14" s="40" t="s">
        <v>18</v>
      </c>
      <c r="H14" s="40" t="s">
        <v>18</v>
      </c>
      <c r="I14" s="40" t="s">
        <v>19</v>
      </c>
      <c r="J14" s="40" t="s">
        <v>19</v>
      </c>
      <c r="K14" s="40" t="s">
        <v>19</v>
      </c>
      <c r="L14" s="40" t="s">
        <v>19</v>
      </c>
      <c r="M14" s="40" t="s">
        <v>19</v>
      </c>
      <c r="N14" s="40" t="s">
        <v>16</v>
      </c>
      <c r="O14" s="40" t="s">
        <v>16</v>
      </c>
      <c r="P14" s="40" t="s">
        <v>16</v>
      </c>
      <c r="Q14" s="40" t="s">
        <v>16</v>
      </c>
      <c r="R14" s="40" t="s">
        <v>16</v>
      </c>
      <c r="S14" s="40" t="s">
        <v>17</v>
      </c>
      <c r="T14" s="40" t="s">
        <v>17</v>
      </c>
      <c r="U14" s="40" t="s">
        <v>17</v>
      </c>
      <c r="V14" s="40" t="s">
        <v>17</v>
      </c>
      <c r="W14" s="40" t="s">
        <v>17</v>
      </c>
      <c r="X14" s="40" t="s">
        <v>20</v>
      </c>
      <c r="Y14" s="40" t="s">
        <v>20</v>
      </c>
      <c r="Z14" s="40" t="s">
        <v>20</v>
      </c>
      <c r="AA14" s="40" t="s">
        <v>20</v>
      </c>
      <c r="AB14" s="40" t="s">
        <v>20</v>
      </c>
      <c r="AC14" s="40" t="s">
        <v>21</v>
      </c>
      <c r="AD14" s="40" t="s">
        <v>21</v>
      </c>
      <c r="AE14" s="40" t="s">
        <v>21</v>
      </c>
      <c r="AF14" s="40" t="s">
        <v>21</v>
      </c>
      <c r="AG14" s="40" t="s">
        <v>21</v>
      </c>
    </row>
    <row r="15" spans="3:33" s="1" customFormat="1">
      <c r="C15" s="58" t="s">
        <v>43</v>
      </c>
      <c r="D15" s="39">
        <v>2016</v>
      </c>
      <c r="E15" s="39">
        <v>2017</v>
      </c>
      <c r="F15" s="39">
        <v>2018</v>
      </c>
      <c r="G15" s="39">
        <v>2019</v>
      </c>
      <c r="H15" s="39">
        <v>2020</v>
      </c>
      <c r="I15" s="39">
        <v>2016</v>
      </c>
      <c r="J15" s="39">
        <v>2017</v>
      </c>
      <c r="K15" s="39">
        <v>2018</v>
      </c>
      <c r="L15" s="39">
        <v>2019</v>
      </c>
      <c r="M15" s="39">
        <v>2020</v>
      </c>
      <c r="N15" s="39">
        <v>2016</v>
      </c>
      <c r="O15" s="39">
        <v>2017</v>
      </c>
      <c r="P15" s="39">
        <v>2018</v>
      </c>
      <c r="Q15" s="39">
        <v>2019</v>
      </c>
      <c r="R15" s="39">
        <v>2020</v>
      </c>
      <c r="S15" s="39">
        <v>2016</v>
      </c>
      <c r="T15" s="39">
        <v>2017</v>
      </c>
      <c r="U15" s="39">
        <v>2018</v>
      </c>
      <c r="V15" s="39">
        <v>2019</v>
      </c>
      <c r="W15" s="39">
        <v>2020</v>
      </c>
      <c r="X15" s="39">
        <v>2016</v>
      </c>
      <c r="Y15" s="39">
        <v>2017</v>
      </c>
      <c r="Z15" s="39">
        <v>2018</v>
      </c>
      <c r="AA15" s="39">
        <v>2019</v>
      </c>
      <c r="AB15" s="39">
        <v>2020</v>
      </c>
      <c r="AC15" s="39">
        <v>2016</v>
      </c>
      <c r="AD15" s="39">
        <v>2017</v>
      </c>
      <c r="AE15" s="39">
        <v>2018</v>
      </c>
      <c r="AF15" s="39">
        <v>2019</v>
      </c>
      <c r="AG15" s="39">
        <v>2020</v>
      </c>
    </row>
    <row r="16" spans="3:33" s="1" customFormat="1">
      <c r="C16" s="54" t="s">
        <v>64</v>
      </c>
      <c r="D16" s="76">
        <f>INDEX('Detailed Assumptions'!$C$25:$I$27,3,MATCH('Assumption calculations'!D$14,'Detailed Assumptions'!$C$25:$I$25,0))</f>
        <v>0.25</v>
      </c>
      <c r="E16" s="76">
        <f>INDEX('Detailed Assumptions'!$C$25:$I$27,3,MATCH('Assumption calculations'!E$14,'Detailed Assumptions'!$C$25:$I$25,0))</f>
        <v>0.25</v>
      </c>
      <c r="F16" s="76">
        <f>INDEX('Detailed Assumptions'!$C$25:$I$27,3,MATCH('Assumption calculations'!F$14,'Detailed Assumptions'!$C$25:$I$25,0))</f>
        <v>0.25</v>
      </c>
      <c r="G16" s="76">
        <f>INDEX('Detailed Assumptions'!$C$25:$I$27,3,MATCH('Assumption calculations'!G$14,'Detailed Assumptions'!$C$25:$I$25,0))</f>
        <v>0.25</v>
      </c>
      <c r="H16" s="76">
        <f>INDEX('Detailed Assumptions'!$C$25:$I$27,3,MATCH('Assumption calculations'!H$14,'Detailed Assumptions'!$C$25:$I$25,0))</f>
        <v>0.25</v>
      </c>
      <c r="I16" s="76">
        <f>INDEX('Detailed Assumptions'!$C$25:$I$27,3,MATCH('Assumption calculations'!I$14,'Detailed Assumptions'!$C$25:$I$25,0))</f>
        <v>0.5161290322580645</v>
      </c>
      <c r="J16" s="76">
        <f>INDEX('Detailed Assumptions'!$C$25:$I$27,3,MATCH('Assumption calculations'!J$14,'Detailed Assumptions'!$C$25:$I$25,0))</f>
        <v>0.5161290322580645</v>
      </c>
      <c r="K16" s="76">
        <f>INDEX('Detailed Assumptions'!$C$25:$I$27,3,MATCH('Assumption calculations'!K$14,'Detailed Assumptions'!$C$25:$I$25,0))</f>
        <v>0.5161290322580645</v>
      </c>
      <c r="L16" s="76">
        <f>INDEX('Detailed Assumptions'!$C$25:$I$27,3,MATCH('Assumption calculations'!L$14,'Detailed Assumptions'!$C$25:$I$25,0))</f>
        <v>0.5161290322580645</v>
      </c>
      <c r="M16" s="76">
        <f>INDEX('Detailed Assumptions'!$C$25:$I$27,3,MATCH('Assumption calculations'!M$14,'Detailed Assumptions'!$C$25:$I$25,0))</f>
        <v>0.5161290322580645</v>
      </c>
      <c r="N16" s="76">
        <f>INDEX('Detailed Assumptions'!$C$25:$I$27,3,MATCH('Assumption calculations'!N$14,'Detailed Assumptions'!$C$25:$I$25,0))</f>
        <v>0.93</v>
      </c>
      <c r="O16" s="76">
        <f>INDEX('Detailed Assumptions'!$C$25:$I$27,3,MATCH('Assumption calculations'!O$14,'Detailed Assumptions'!$C$25:$I$25,0))</f>
        <v>0.93</v>
      </c>
      <c r="P16" s="76">
        <f>INDEX('Detailed Assumptions'!$C$25:$I$27,3,MATCH('Assumption calculations'!P$14,'Detailed Assumptions'!$C$25:$I$25,0))</f>
        <v>0.93</v>
      </c>
      <c r="Q16" s="76">
        <f>INDEX('Detailed Assumptions'!$C$25:$I$27,3,MATCH('Assumption calculations'!Q$14,'Detailed Assumptions'!$C$25:$I$25,0))</f>
        <v>0.93</v>
      </c>
      <c r="R16" s="76">
        <f>INDEX('Detailed Assumptions'!$C$25:$I$27,3,MATCH('Assumption calculations'!R$14,'Detailed Assumptions'!$C$25:$I$25,0))</f>
        <v>0.93</v>
      </c>
      <c r="S16" s="76">
        <f>INDEX('Detailed Assumptions'!$C$25:$I$27,3,MATCH('Assumption calculations'!S$14,'Detailed Assumptions'!$C$25:$I$25,0))</f>
        <v>1</v>
      </c>
      <c r="T16" s="76">
        <f>INDEX('Detailed Assumptions'!$C$25:$I$27,3,MATCH('Assumption calculations'!T$14,'Detailed Assumptions'!$C$25:$I$25,0))</f>
        <v>1</v>
      </c>
      <c r="U16" s="76">
        <f>INDEX('Detailed Assumptions'!$C$25:$I$27,3,MATCH('Assumption calculations'!U$14,'Detailed Assumptions'!$C$25:$I$25,0))</f>
        <v>1</v>
      </c>
      <c r="V16" s="76">
        <f>INDEX('Detailed Assumptions'!$C$25:$I$27,3,MATCH('Assumption calculations'!V$14,'Detailed Assumptions'!$C$25:$I$25,0))</f>
        <v>1</v>
      </c>
      <c r="W16" s="76">
        <f>INDEX('Detailed Assumptions'!$C$25:$I$27,3,MATCH('Assumption calculations'!W$14,'Detailed Assumptions'!$C$25:$I$25,0))</f>
        <v>1</v>
      </c>
      <c r="X16" s="76">
        <f>INDEX('Detailed Assumptions'!$C$25:$I$27,3,MATCH('Assumption calculations'!X$14,'Detailed Assumptions'!$C$25:$I$25,0))</f>
        <v>0.92</v>
      </c>
      <c r="Y16" s="76">
        <f>INDEX('Detailed Assumptions'!$C$25:$I$27,3,MATCH('Assumption calculations'!Y$14,'Detailed Assumptions'!$C$25:$I$25,0))</f>
        <v>0.92</v>
      </c>
      <c r="Z16" s="76">
        <f>INDEX('Detailed Assumptions'!$C$25:$I$27,3,MATCH('Assumption calculations'!Z$14,'Detailed Assumptions'!$C$25:$I$25,0))</f>
        <v>0.92</v>
      </c>
      <c r="AA16" s="76">
        <f>INDEX('Detailed Assumptions'!$C$25:$I$27,3,MATCH('Assumption calculations'!AA$14,'Detailed Assumptions'!$C$25:$I$25,0))</f>
        <v>0.92</v>
      </c>
      <c r="AB16" s="76">
        <f>INDEX('Detailed Assumptions'!$C$25:$I$27,3,MATCH('Assumption calculations'!AB$14,'Detailed Assumptions'!$C$25:$I$25,0))</f>
        <v>0.92</v>
      </c>
      <c r="AC16" s="76">
        <f>INDEX('Detailed Assumptions'!$C$25:$I$27,3,MATCH('Assumption calculations'!AC$14,'Detailed Assumptions'!$C$25:$I$25,0))</f>
        <v>0.86956521739130432</v>
      </c>
      <c r="AD16" s="76">
        <f>INDEX('Detailed Assumptions'!$C$25:$I$27,3,MATCH('Assumption calculations'!AD$14,'Detailed Assumptions'!$C$25:$I$25,0))</f>
        <v>0.86956521739130432</v>
      </c>
      <c r="AE16" s="76">
        <f>INDEX('Detailed Assumptions'!$C$25:$I$27,3,MATCH('Assumption calculations'!AE$14,'Detailed Assumptions'!$C$25:$I$25,0))</f>
        <v>0.86956521739130432</v>
      </c>
      <c r="AF16" s="76">
        <f>INDEX('Detailed Assumptions'!$C$25:$I$27,3,MATCH('Assumption calculations'!AF$14,'Detailed Assumptions'!$C$25:$I$25,0))</f>
        <v>0.86956521739130432</v>
      </c>
      <c r="AG16" s="76">
        <f>INDEX('Detailed Assumptions'!$C$25:$I$27,3,MATCH('Assumption calculations'!AG$14,'Detailed Assumptions'!$C$25:$I$25,0))</f>
        <v>0.86956521739130432</v>
      </c>
    </row>
    <row r="17" spans="1:33" s="38" customFormat="1" ht="13" thickBot="1">
      <c r="C17" s="95" t="s">
        <v>100</v>
      </c>
      <c r="D17" s="96" t="str">
        <f>INDEX('Detailed Assumptions'!$C$75:$I$81,MATCH('Assumption calculations'!D$14,'Detailed Assumptions'!$C$75:$C$81,0),MATCH('Assumption calculations'!D$15,'Detailed Assumptions'!$C$75:$I$75,0))</f>
        <v>N/A</v>
      </c>
      <c r="E17" s="96" t="str">
        <f>INDEX('Detailed Assumptions'!$C$75:$I$81,MATCH('Assumption calculations'!E$14,'Detailed Assumptions'!$C$75:$C$81,0),MATCH('Assumption calculations'!E$15,'Detailed Assumptions'!$C$75:$I$75,0))</f>
        <v>N/A</v>
      </c>
      <c r="F17" s="96" t="str">
        <f>INDEX('Detailed Assumptions'!$C$75:$I$81,MATCH('Assumption calculations'!F$14,'Detailed Assumptions'!$C$75:$C$81,0),MATCH('Assumption calculations'!F$15,'Detailed Assumptions'!$C$75:$I$75,0))</f>
        <v>N/A</v>
      </c>
      <c r="G17" s="96" t="str">
        <f>INDEX('Detailed Assumptions'!$C$75:$I$81,MATCH('Assumption calculations'!G$14,'Detailed Assumptions'!$C$75:$C$81,0),MATCH('Assumption calculations'!G$15,'Detailed Assumptions'!$C$75:$I$75,0))</f>
        <v>N/A</v>
      </c>
      <c r="H17" s="96" t="str">
        <f>INDEX('Detailed Assumptions'!$C$75:$I$81,MATCH('Assumption calculations'!H$14,'Detailed Assumptions'!$C$75:$C$81,0),MATCH('Assumption calculations'!H$15,'Detailed Assumptions'!$C$75:$I$75,0))</f>
        <v>N/A</v>
      </c>
      <c r="I17" s="96" t="str">
        <f>INDEX('Detailed Assumptions'!$C$75:$I$81,MATCH('Assumption calculations'!I$14,'Detailed Assumptions'!$C$75:$C$81,0),MATCH('Assumption calculations'!I$15,'Detailed Assumptions'!$C$75:$I$75,0))</f>
        <v>N/A</v>
      </c>
      <c r="J17" s="96" t="str">
        <f>INDEX('Detailed Assumptions'!$C$75:$I$81,MATCH('Assumption calculations'!J$14,'Detailed Assumptions'!$C$75:$C$81,0),MATCH('Assumption calculations'!J$15,'Detailed Assumptions'!$C$75:$I$75,0))</f>
        <v>N/A</v>
      </c>
      <c r="K17" s="96" t="str">
        <f>INDEX('Detailed Assumptions'!$C$75:$I$81,MATCH('Assumption calculations'!K$14,'Detailed Assumptions'!$C$75:$C$81,0),MATCH('Assumption calculations'!K$15,'Detailed Assumptions'!$C$75:$I$75,0))</f>
        <v>N/A</v>
      </c>
      <c r="L17" s="96" t="str">
        <f>INDEX('Detailed Assumptions'!$C$75:$I$81,MATCH('Assumption calculations'!L$14,'Detailed Assumptions'!$C$75:$C$81,0),MATCH('Assumption calculations'!L$15,'Detailed Assumptions'!$C$75:$I$75,0))</f>
        <v>N/A</v>
      </c>
      <c r="M17" s="96" t="str">
        <f>INDEX('Detailed Assumptions'!$C$75:$I$81,MATCH('Assumption calculations'!M$14,'Detailed Assumptions'!$C$75:$C$81,0),MATCH('Assumption calculations'!M$15,'Detailed Assumptions'!$C$75:$I$75,0))</f>
        <v>N/A</v>
      </c>
      <c r="N17" s="96">
        <f>INDEX('Detailed Assumptions'!$C$75:$I$81,MATCH('Assumption calculations'!N$14,'Detailed Assumptions'!$C$75:$C$81,0),MATCH('Assumption calculations'!N$15,'Detailed Assumptions'!$C$75:$I$75,0))</f>
        <v>3.799903799903788E-3</v>
      </c>
      <c r="O17" s="96">
        <f>INDEX('Detailed Assumptions'!$C$75:$I$81,MATCH('Assumption calculations'!O$14,'Detailed Assumptions'!$C$75:$C$81,0),MATCH('Assumption calculations'!O$15,'Detailed Assumptions'!$C$75:$I$75,0))</f>
        <v>3.5812672176308638E-3</v>
      </c>
      <c r="P17" s="96">
        <f>INDEX('Detailed Assumptions'!$C$75:$I$81,MATCH('Assumption calculations'!P$14,'Detailed Assumptions'!$C$75:$C$81,0),MATCH('Assumption calculations'!P$15,'Detailed Assumptions'!$C$75:$I$75,0))</f>
        <v>4.9309706005710788E-3</v>
      </c>
      <c r="Q17" s="96">
        <f>INDEX('Detailed Assumptions'!$C$75:$I$81,MATCH('Assumption calculations'!Q$14,'Detailed Assumptions'!$C$75:$C$81,0),MATCH('Assumption calculations'!Q$15,'Detailed Assumptions'!$C$75:$I$75,0))</f>
        <v>5.6748073346610979E-3</v>
      </c>
      <c r="R17" s="96">
        <f>INDEX('Detailed Assumptions'!$C$75:$I$81,MATCH('Assumption calculations'!R$14,'Detailed Assumptions'!$C$75:$C$81,0),MATCH('Assumption calculations'!R$15,'Detailed Assumptions'!$C$75:$I$75,0))</f>
        <v>7.241496186092807E-3</v>
      </c>
      <c r="S17" s="96">
        <f>INDEX('Detailed Assumptions'!$C$75:$I$81,MATCH('Assumption calculations'!S$14,'Detailed Assumptions'!$C$75:$C$81,0),MATCH('Assumption calculations'!S$15,'Detailed Assumptions'!$C$75:$I$75,0))</f>
        <v>4.1026812839834309E-3</v>
      </c>
      <c r="T17" s="96">
        <f>INDEX('Detailed Assumptions'!$C$75:$I$81,MATCH('Assumption calculations'!T$14,'Detailed Assumptions'!$C$75:$C$81,0),MATCH('Assumption calculations'!T$15,'Detailed Assumptions'!$C$75:$I$75,0))</f>
        <v>3.8657111421689719E-3</v>
      </c>
      <c r="U17" s="96">
        <f>INDEX('Detailed Assumptions'!$C$75:$I$81,MATCH('Assumption calculations'!U$14,'Detailed Assumptions'!$C$75:$C$81,0),MATCH('Assumption calculations'!U$15,'Detailed Assumptions'!$C$75:$I$75,0))</f>
        <v>5.2003719420491111E-3</v>
      </c>
      <c r="V17" s="96">
        <f>INDEX('Detailed Assumptions'!$C$75:$I$81,MATCH('Assumption calculations'!V$14,'Detailed Assumptions'!$C$75:$C$81,0),MATCH('Assumption calculations'!V$15,'Detailed Assumptions'!$C$75:$I$75,0))</f>
        <v>5.6748073346610979E-3</v>
      </c>
      <c r="W17" s="96">
        <f>INDEX('Detailed Assumptions'!$C$75:$I$81,MATCH('Assumption calculations'!W$14,'Detailed Assumptions'!$C$75:$C$81,0),MATCH('Assumption calculations'!W$15,'Detailed Assumptions'!$C$75:$I$75,0))</f>
        <v>7.241496186092807E-3</v>
      </c>
      <c r="X17" s="96">
        <f>INDEX('Detailed Assumptions'!$C$75:$I$81,MATCH('Assumption calculations'!X$14,'Detailed Assumptions'!$C$75:$C$81,0),MATCH('Assumption calculations'!X$15,'Detailed Assumptions'!$C$75:$I$75,0))</f>
        <v>0</v>
      </c>
      <c r="Y17" s="96">
        <f>INDEX('Detailed Assumptions'!$C$75:$I$81,MATCH('Assumption calculations'!Y$14,'Detailed Assumptions'!$C$75:$C$81,0),MATCH('Assumption calculations'!Y$15,'Detailed Assumptions'!$C$75:$I$75,0))</f>
        <v>0</v>
      </c>
      <c r="Z17" s="96">
        <f>INDEX('Detailed Assumptions'!$C$75:$I$81,MATCH('Assumption calculations'!Z$14,'Detailed Assumptions'!$C$75:$C$81,0),MATCH('Assumption calculations'!Z$15,'Detailed Assumptions'!$C$75:$I$75,0))</f>
        <v>0</v>
      </c>
      <c r="AA17" s="96">
        <f>INDEX('Detailed Assumptions'!$C$75:$I$81,MATCH('Assumption calculations'!AA$14,'Detailed Assumptions'!$C$75:$C$81,0),MATCH('Assumption calculations'!AA$15,'Detailed Assumptions'!$C$75:$I$75,0))</f>
        <v>0</v>
      </c>
      <c r="AB17" s="96">
        <f>INDEX('Detailed Assumptions'!$C$75:$I$81,MATCH('Assumption calculations'!AB$14,'Detailed Assumptions'!$C$75:$C$81,0),MATCH('Assumption calculations'!AB$15,'Detailed Assumptions'!$C$75:$I$75,0))</f>
        <v>0</v>
      </c>
      <c r="AC17" s="96">
        <f>INDEX('Detailed Assumptions'!$C$75:$I$81,MATCH('Assumption calculations'!AC$14,'Detailed Assumptions'!$C$75:$C$81,0),MATCH('Assumption calculations'!AC$15,'Detailed Assumptions'!$C$75:$I$75,0))</f>
        <v>0</v>
      </c>
      <c r="AD17" s="96">
        <f>INDEX('Detailed Assumptions'!$C$75:$I$81,MATCH('Assumption calculations'!AD$14,'Detailed Assumptions'!$C$75:$C$81,0),MATCH('Assumption calculations'!AD$15,'Detailed Assumptions'!$C$75:$I$75,0))</f>
        <v>0</v>
      </c>
      <c r="AE17" s="96">
        <f>INDEX('Detailed Assumptions'!$C$75:$I$81,MATCH('Assumption calculations'!AE$14,'Detailed Assumptions'!$C$75:$C$81,0),MATCH('Assumption calculations'!AE$15,'Detailed Assumptions'!$C$75:$I$75,0))</f>
        <v>0</v>
      </c>
      <c r="AF17" s="96">
        <f>INDEX('Detailed Assumptions'!$C$75:$I$81,MATCH('Assumption calculations'!AF$14,'Detailed Assumptions'!$C$75:$C$81,0),MATCH('Assumption calculations'!AF$15,'Detailed Assumptions'!$C$75:$I$75,0))</f>
        <v>0</v>
      </c>
      <c r="AG17" s="96">
        <f>INDEX('Detailed Assumptions'!$C$75:$I$81,MATCH('Assumption calculations'!AG$14,'Detailed Assumptions'!$C$75:$C$81,0),MATCH('Assumption calculations'!AG$15,'Detailed Assumptions'!$C$75:$I$75,0))</f>
        <v>0</v>
      </c>
    </row>
    <row r="18" spans="1:33" s="1" customFormat="1" ht="13" thickTop="1">
      <c r="C18" s="82" t="s">
        <v>99</v>
      </c>
      <c r="D18" s="94">
        <f>IFERROR(D16-D17,D16)</f>
        <v>0.25</v>
      </c>
      <c r="E18" s="94">
        <f t="shared" ref="E18:AG18" si="2">IFERROR(E16-E17,E16)</f>
        <v>0.25</v>
      </c>
      <c r="F18" s="94">
        <f t="shared" si="2"/>
        <v>0.25</v>
      </c>
      <c r="G18" s="94">
        <f t="shared" si="2"/>
        <v>0.25</v>
      </c>
      <c r="H18" s="94">
        <f t="shared" si="2"/>
        <v>0.25</v>
      </c>
      <c r="I18" s="94">
        <f t="shared" si="2"/>
        <v>0.5161290322580645</v>
      </c>
      <c r="J18" s="94">
        <f t="shared" si="2"/>
        <v>0.5161290322580645</v>
      </c>
      <c r="K18" s="94">
        <f t="shared" si="2"/>
        <v>0.5161290322580645</v>
      </c>
      <c r="L18" s="94">
        <f t="shared" si="2"/>
        <v>0.5161290322580645</v>
      </c>
      <c r="M18" s="94">
        <f t="shared" si="2"/>
        <v>0.5161290322580645</v>
      </c>
      <c r="N18" s="94">
        <f t="shared" si="2"/>
        <v>0.92620009620009625</v>
      </c>
      <c r="O18" s="94">
        <f t="shared" si="2"/>
        <v>0.92641873278236919</v>
      </c>
      <c r="P18" s="94">
        <f t="shared" si="2"/>
        <v>0.92506902939942892</v>
      </c>
      <c r="Q18" s="94">
        <f t="shared" si="2"/>
        <v>0.92432519266533897</v>
      </c>
      <c r="R18" s="94">
        <f t="shared" si="2"/>
        <v>0.92275850381390723</v>
      </c>
      <c r="S18" s="94">
        <f t="shared" si="2"/>
        <v>0.99589731871601661</v>
      </c>
      <c r="T18" s="94">
        <f t="shared" si="2"/>
        <v>0.99613428885783106</v>
      </c>
      <c r="U18" s="94">
        <f t="shared" si="2"/>
        <v>0.99479962805795086</v>
      </c>
      <c r="V18" s="94">
        <f t="shared" si="2"/>
        <v>0.99432519266533892</v>
      </c>
      <c r="W18" s="94">
        <f t="shared" si="2"/>
        <v>0.99275850381390718</v>
      </c>
      <c r="X18" s="94">
        <f t="shared" si="2"/>
        <v>0.92</v>
      </c>
      <c r="Y18" s="94">
        <f t="shared" si="2"/>
        <v>0.92</v>
      </c>
      <c r="Z18" s="94">
        <f t="shared" si="2"/>
        <v>0.92</v>
      </c>
      <c r="AA18" s="94">
        <f t="shared" si="2"/>
        <v>0.92</v>
      </c>
      <c r="AB18" s="94">
        <f t="shared" si="2"/>
        <v>0.92</v>
      </c>
      <c r="AC18" s="94">
        <f t="shared" si="2"/>
        <v>0.86956521739130432</v>
      </c>
      <c r="AD18" s="94">
        <f t="shared" si="2"/>
        <v>0.86956521739130432</v>
      </c>
      <c r="AE18" s="94">
        <f t="shared" si="2"/>
        <v>0.86956521739130432</v>
      </c>
      <c r="AF18" s="94">
        <f t="shared" si="2"/>
        <v>0.86956521739130432</v>
      </c>
      <c r="AG18" s="94">
        <f t="shared" si="2"/>
        <v>0.86956521739130432</v>
      </c>
    </row>
    <row r="19" spans="1:33" s="1" customFormat="1">
      <c r="A19" s="43"/>
      <c r="C19" s="37" t="s">
        <v>11</v>
      </c>
      <c r="D19" s="49">
        <f>INDEX($C$3:$H$9,MATCH($C19,$C$3:$C$9,0),MATCH(D$15,$C$3:$H$3,0))*INDEX('Detailed Assumptions'!$C$34:$I$40,MATCH('Assumption calculations'!$C19,'Detailed Assumptions'!$C$34:$C$40,0),MATCH('Assumption calculations'!D$14,'Detailed Assumptions'!$C$34:$I$34,0))+1</f>
        <v>1</v>
      </c>
      <c r="E19" s="49">
        <f>INDEX($C$3:$H$9,MATCH($C19,$C$3:$C$9,0),MATCH(E$15,$C$3:$H$3,0))*INDEX('Detailed Assumptions'!$C$34:$I$40,MATCH('Assumption calculations'!$C19,'Detailed Assumptions'!$C$34:$C$40,0),MATCH('Assumption calculations'!E$14,'Detailed Assumptions'!$C$34:$I$34,0))+1</f>
        <v>1</v>
      </c>
      <c r="F19" s="49">
        <f>INDEX($C$3:$H$9,MATCH($C19,$C$3:$C$9,0),MATCH(F$15,$C$3:$H$3,0))*INDEX('Detailed Assumptions'!$C$34:$I$40,MATCH('Assumption calculations'!$C19,'Detailed Assumptions'!$C$34:$C$40,0),MATCH('Assumption calculations'!F$14,'Detailed Assumptions'!$C$34:$I$34,0))+1</f>
        <v>1</v>
      </c>
      <c r="G19" s="49">
        <f>INDEX($C$3:$H$9,MATCH($C19,$C$3:$C$9,0),MATCH(G$15,$C$3:$H$3,0))*INDEX('Detailed Assumptions'!$C$34:$I$40,MATCH('Assumption calculations'!$C19,'Detailed Assumptions'!$C$34:$C$40,0),MATCH('Assumption calculations'!G$14,'Detailed Assumptions'!$C$34:$I$34,0))+1</f>
        <v>1</v>
      </c>
      <c r="H19" s="49">
        <f>INDEX($C$3:$H$9,MATCH($C19,$C$3:$C$9,0),MATCH(H$15,$C$3:$H$3,0))*INDEX('Detailed Assumptions'!$C$34:$I$40,MATCH('Assumption calculations'!$C19,'Detailed Assumptions'!$C$34:$C$40,0),MATCH('Assumption calculations'!H$14,'Detailed Assumptions'!$C$34:$I$34,0))+1</f>
        <v>1</v>
      </c>
      <c r="I19" s="49">
        <f>INDEX($C$3:$H$9,MATCH($C19,$C$3:$C$9,0),MATCH(I$15,$C$3:$H$3,0))*INDEX('Detailed Assumptions'!$C$34:$I$40,MATCH('Assumption calculations'!$C19,'Detailed Assumptions'!$C$34:$C$40,0),MATCH('Assumption calculations'!I$14,'Detailed Assumptions'!$C$34:$I$34,0))+1</f>
        <v>1</v>
      </c>
      <c r="J19" s="49">
        <f>INDEX($C$3:$H$9,MATCH($C19,$C$3:$C$9,0),MATCH(J$15,$C$3:$H$3,0))*INDEX('Detailed Assumptions'!$C$34:$I$40,MATCH('Assumption calculations'!$C19,'Detailed Assumptions'!$C$34:$C$40,0),MATCH('Assumption calculations'!J$14,'Detailed Assumptions'!$C$34:$I$34,0))+1</f>
        <v>1</v>
      </c>
      <c r="K19" s="49">
        <f>INDEX($C$3:$H$9,MATCH($C19,$C$3:$C$9,0),MATCH(K$15,$C$3:$H$3,0))*INDEX('Detailed Assumptions'!$C$34:$I$40,MATCH('Assumption calculations'!$C19,'Detailed Assumptions'!$C$34:$C$40,0),MATCH('Assumption calculations'!K$14,'Detailed Assumptions'!$C$34:$I$34,0))+1</f>
        <v>1</v>
      </c>
      <c r="L19" s="49">
        <f>INDEX($C$3:$H$9,MATCH($C19,$C$3:$C$9,0),MATCH(L$15,$C$3:$H$3,0))*INDEX('Detailed Assumptions'!$C$34:$I$40,MATCH('Assumption calculations'!$C19,'Detailed Assumptions'!$C$34:$C$40,0),MATCH('Assumption calculations'!L$14,'Detailed Assumptions'!$C$34:$I$34,0))+1</f>
        <v>1</v>
      </c>
      <c r="M19" s="49">
        <f>INDEX($C$3:$H$9,MATCH($C19,$C$3:$C$9,0),MATCH(M$15,$C$3:$H$3,0))*INDEX('Detailed Assumptions'!$C$34:$I$40,MATCH('Assumption calculations'!$C19,'Detailed Assumptions'!$C$34:$C$40,0),MATCH('Assumption calculations'!M$14,'Detailed Assumptions'!$C$34:$I$34,0))+1</f>
        <v>1</v>
      </c>
      <c r="N19" s="49">
        <f>INDEX($C$3:$H$9,MATCH($C19,$C$3:$C$9,0),MATCH(N$15,$C$3:$H$3,0))*INDEX('Detailed Assumptions'!$C$34:$I$40,MATCH('Assumption calculations'!$C19,'Detailed Assumptions'!$C$34:$C$40,0),MATCH('Assumption calculations'!N$14,'Detailed Assumptions'!$C$34:$I$34,0))+1</f>
        <v>1</v>
      </c>
      <c r="O19" s="49">
        <f>INDEX($C$3:$H$9,MATCH($C19,$C$3:$C$9,0),MATCH(O$15,$C$3:$H$3,0))*INDEX('Detailed Assumptions'!$C$34:$I$40,MATCH('Assumption calculations'!$C19,'Detailed Assumptions'!$C$34:$C$40,0),MATCH('Assumption calculations'!O$14,'Detailed Assumptions'!$C$34:$I$34,0))+1</f>
        <v>1</v>
      </c>
      <c r="P19" s="49">
        <f>INDEX($C$3:$H$9,MATCH($C19,$C$3:$C$9,0),MATCH(P$15,$C$3:$H$3,0))*INDEX('Detailed Assumptions'!$C$34:$I$40,MATCH('Assumption calculations'!$C19,'Detailed Assumptions'!$C$34:$C$40,0),MATCH('Assumption calculations'!P$14,'Detailed Assumptions'!$C$34:$I$34,0))+1</f>
        <v>1.0249999999999999</v>
      </c>
      <c r="Q19" s="49">
        <f>INDEX($C$3:$H$9,MATCH($C19,$C$3:$C$9,0),MATCH(Q$15,$C$3:$H$3,0))*INDEX('Detailed Assumptions'!$C$34:$I$40,MATCH('Assumption calculations'!$C19,'Detailed Assumptions'!$C$34:$C$40,0),MATCH('Assumption calculations'!Q$14,'Detailed Assumptions'!$C$34:$I$34,0))+1</f>
        <v>1.05</v>
      </c>
      <c r="R19" s="49">
        <f>INDEX($C$3:$H$9,MATCH($C19,$C$3:$C$9,0),MATCH(R$15,$C$3:$H$3,0))*INDEX('Detailed Assumptions'!$C$34:$I$40,MATCH('Assumption calculations'!$C19,'Detailed Assumptions'!$C$34:$C$40,0),MATCH('Assumption calculations'!R$14,'Detailed Assumptions'!$C$34:$I$34,0))+1</f>
        <v>1.075</v>
      </c>
      <c r="S19" s="49">
        <f>INDEX($C$3:$H$9,MATCH($C19,$C$3:$C$9,0),MATCH(S$15,$C$3:$H$3,0))*INDEX('Detailed Assumptions'!$C$34:$I$40,MATCH('Assumption calculations'!$C19,'Detailed Assumptions'!$C$34:$C$40,0),MATCH('Assumption calculations'!S$14,'Detailed Assumptions'!$C$34:$I$34,0))+1</f>
        <v>1</v>
      </c>
      <c r="T19" s="49">
        <f>INDEX($C$3:$H$9,MATCH($C19,$C$3:$C$9,0),MATCH(T$15,$C$3:$H$3,0))*INDEX('Detailed Assumptions'!$C$34:$I$40,MATCH('Assumption calculations'!$C19,'Detailed Assumptions'!$C$34:$C$40,0),MATCH('Assumption calculations'!T$14,'Detailed Assumptions'!$C$34:$I$34,0))+1</f>
        <v>1</v>
      </c>
      <c r="U19" s="49">
        <f>INDEX($C$3:$H$9,MATCH($C19,$C$3:$C$9,0),MATCH(U$15,$C$3:$H$3,0))*INDEX('Detailed Assumptions'!$C$34:$I$40,MATCH('Assumption calculations'!$C19,'Detailed Assumptions'!$C$34:$C$40,0),MATCH('Assumption calculations'!U$14,'Detailed Assumptions'!$C$34:$I$34,0))+1</f>
        <v>1</v>
      </c>
      <c r="V19" s="49">
        <f>INDEX($C$3:$H$9,MATCH($C19,$C$3:$C$9,0),MATCH(V$15,$C$3:$H$3,0))*INDEX('Detailed Assumptions'!$C$34:$I$40,MATCH('Assumption calculations'!$C19,'Detailed Assumptions'!$C$34:$C$40,0),MATCH('Assumption calculations'!V$14,'Detailed Assumptions'!$C$34:$I$34,0))+1</f>
        <v>1</v>
      </c>
      <c r="W19" s="49">
        <f>INDEX($C$3:$H$9,MATCH($C19,$C$3:$C$9,0),MATCH(W$15,$C$3:$H$3,0))*INDEX('Detailed Assumptions'!$C$34:$I$40,MATCH('Assumption calculations'!$C19,'Detailed Assumptions'!$C$34:$C$40,0),MATCH('Assumption calculations'!W$14,'Detailed Assumptions'!$C$34:$I$34,0))+1</f>
        <v>1</v>
      </c>
      <c r="X19" s="49">
        <f>INDEX($C$3:$H$9,MATCH($C19,$C$3:$C$9,0),MATCH(X$15,$C$3:$H$3,0))*INDEX('Detailed Assumptions'!$C$34:$I$40,MATCH('Assumption calculations'!$C19,'Detailed Assumptions'!$C$34:$C$40,0),MATCH('Assumption calculations'!X$14,'Detailed Assumptions'!$C$34:$I$34,0))+1</f>
        <v>1</v>
      </c>
      <c r="Y19" s="49">
        <f>INDEX($C$3:$H$9,MATCH($C19,$C$3:$C$9,0),MATCH(Y$15,$C$3:$H$3,0))*INDEX('Detailed Assumptions'!$C$34:$I$40,MATCH('Assumption calculations'!$C19,'Detailed Assumptions'!$C$34:$C$40,0),MATCH('Assumption calculations'!Y$14,'Detailed Assumptions'!$C$34:$I$34,0))+1</f>
        <v>1</v>
      </c>
      <c r="Z19" s="49">
        <f>INDEX($C$3:$H$9,MATCH($C19,$C$3:$C$9,0),MATCH(Z$15,$C$3:$H$3,0))*INDEX('Detailed Assumptions'!$C$34:$I$40,MATCH('Assumption calculations'!$C19,'Detailed Assumptions'!$C$34:$C$40,0),MATCH('Assumption calculations'!Z$14,'Detailed Assumptions'!$C$34:$I$34,0))+1</f>
        <v>1</v>
      </c>
      <c r="AA19" s="49">
        <f>INDEX($C$3:$H$9,MATCH($C19,$C$3:$C$9,0),MATCH(AA$15,$C$3:$H$3,0))*INDEX('Detailed Assumptions'!$C$34:$I$40,MATCH('Assumption calculations'!$C19,'Detailed Assumptions'!$C$34:$C$40,0),MATCH('Assumption calculations'!AA$14,'Detailed Assumptions'!$C$34:$I$34,0))+1</f>
        <v>1</v>
      </c>
      <c r="AB19" s="49">
        <f>INDEX($C$3:$H$9,MATCH($C19,$C$3:$C$9,0),MATCH(AB$15,$C$3:$H$3,0))*INDEX('Detailed Assumptions'!$C$34:$I$40,MATCH('Assumption calculations'!$C19,'Detailed Assumptions'!$C$34:$C$40,0),MATCH('Assumption calculations'!AB$14,'Detailed Assumptions'!$C$34:$I$34,0))+1</f>
        <v>1</v>
      </c>
      <c r="AC19" s="49">
        <f>INDEX($C$3:$H$9,MATCH($C19,$C$3:$C$9,0),MATCH(AC$15,$C$3:$H$3,0))*INDEX('Detailed Assumptions'!$C$34:$I$40,MATCH('Assumption calculations'!$C19,'Detailed Assumptions'!$C$34:$C$40,0),MATCH('Assumption calculations'!AC$14,'Detailed Assumptions'!$C$34:$I$34,0))+1</f>
        <v>1</v>
      </c>
      <c r="AD19" s="49">
        <f>INDEX($C$3:$H$9,MATCH($C19,$C$3:$C$9,0),MATCH(AD$15,$C$3:$H$3,0))*INDEX('Detailed Assumptions'!$C$34:$I$40,MATCH('Assumption calculations'!$C19,'Detailed Assumptions'!$C$34:$C$40,0),MATCH('Assumption calculations'!AD$14,'Detailed Assumptions'!$C$34:$I$34,0))+1</f>
        <v>1</v>
      </c>
      <c r="AE19" s="49">
        <f>INDEX($C$3:$H$9,MATCH($C19,$C$3:$C$9,0),MATCH(AE$15,$C$3:$H$3,0))*INDEX('Detailed Assumptions'!$C$34:$I$40,MATCH('Assumption calculations'!$C19,'Detailed Assumptions'!$C$34:$C$40,0),MATCH('Assumption calculations'!AE$14,'Detailed Assumptions'!$C$34:$I$34,0))+1</f>
        <v>1</v>
      </c>
      <c r="AF19" s="49">
        <f>INDEX($C$3:$H$9,MATCH($C19,$C$3:$C$9,0),MATCH(AF$15,$C$3:$H$3,0))*INDEX('Detailed Assumptions'!$C$34:$I$40,MATCH('Assumption calculations'!$C19,'Detailed Assumptions'!$C$34:$C$40,0),MATCH('Assumption calculations'!AF$14,'Detailed Assumptions'!$C$34:$I$34,0))+1</f>
        <v>1</v>
      </c>
      <c r="AG19" s="49">
        <f>INDEX($C$3:$H$9,MATCH($C19,$C$3:$C$9,0),MATCH(AG$15,$C$3:$H$3,0))*INDEX('Detailed Assumptions'!$C$34:$I$40,MATCH('Assumption calculations'!$C19,'Detailed Assumptions'!$C$34:$C$40,0),MATCH('Assumption calculations'!AG$14,'Detailed Assumptions'!$C$34:$I$34,0))+1</f>
        <v>1</v>
      </c>
    </row>
    <row r="20" spans="1:33" s="1" customFormat="1">
      <c r="C20" s="37" t="s">
        <v>12</v>
      </c>
      <c r="D20" s="49">
        <f>INDEX($C$3:$H$9,MATCH($C20,$C$3:$C$9,0),MATCH(D$15,$C$3:$H$3,0))*INDEX('Detailed Assumptions'!$C$34:$I$40,MATCH('Assumption calculations'!$C20,'Detailed Assumptions'!$C$34:$C$40,0),MATCH('Assumption calculations'!D$14,'Detailed Assumptions'!$C$34:$I$34,0))+1</f>
        <v>1</v>
      </c>
      <c r="E20" s="49">
        <f>INDEX($C$3:$H$9,MATCH($C20,$C$3:$C$9,0),MATCH(E$15,$C$3:$H$3,0))*INDEX('Detailed Assumptions'!$C$34:$I$40,MATCH('Assumption calculations'!$C20,'Detailed Assumptions'!$C$34:$C$40,0),MATCH('Assumption calculations'!E$14,'Detailed Assumptions'!$C$34:$I$34,0))+1</f>
        <v>1</v>
      </c>
      <c r="F20" s="49">
        <f>INDEX($C$3:$H$9,MATCH($C20,$C$3:$C$9,0),MATCH(F$15,$C$3:$H$3,0))*INDEX('Detailed Assumptions'!$C$34:$I$40,MATCH('Assumption calculations'!$C20,'Detailed Assumptions'!$C$34:$C$40,0),MATCH('Assumption calculations'!F$14,'Detailed Assumptions'!$C$34:$I$34,0))+1</f>
        <v>1</v>
      </c>
      <c r="G20" s="49">
        <f>INDEX($C$3:$H$9,MATCH($C20,$C$3:$C$9,0),MATCH(G$15,$C$3:$H$3,0))*INDEX('Detailed Assumptions'!$C$34:$I$40,MATCH('Assumption calculations'!$C20,'Detailed Assumptions'!$C$34:$C$40,0),MATCH('Assumption calculations'!G$14,'Detailed Assumptions'!$C$34:$I$34,0))+1</f>
        <v>1</v>
      </c>
      <c r="H20" s="49">
        <f>INDEX($C$3:$H$9,MATCH($C20,$C$3:$C$9,0),MATCH(H$15,$C$3:$H$3,0))*INDEX('Detailed Assumptions'!$C$34:$I$40,MATCH('Assumption calculations'!$C20,'Detailed Assumptions'!$C$34:$C$40,0),MATCH('Assumption calculations'!H$14,'Detailed Assumptions'!$C$34:$I$34,0))+1</f>
        <v>1</v>
      </c>
      <c r="I20" s="49">
        <f>INDEX($C$3:$H$9,MATCH($C20,$C$3:$C$9,0),MATCH(I$15,$C$3:$H$3,0))*INDEX('Detailed Assumptions'!$C$34:$I$40,MATCH('Assumption calculations'!$C20,'Detailed Assumptions'!$C$34:$C$40,0),MATCH('Assumption calculations'!I$14,'Detailed Assumptions'!$C$34:$I$34,0))+1</f>
        <v>1</v>
      </c>
      <c r="J20" s="49">
        <f>INDEX($C$3:$H$9,MATCH($C20,$C$3:$C$9,0),MATCH(J$15,$C$3:$H$3,0))*INDEX('Detailed Assumptions'!$C$34:$I$40,MATCH('Assumption calculations'!$C20,'Detailed Assumptions'!$C$34:$C$40,0),MATCH('Assumption calculations'!J$14,'Detailed Assumptions'!$C$34:$I$34,0))+1</f>
        <v>1</v>
      </c>
      <c r="K20" s="49">
        <f>INDEX($C$3:$H$9,MATCH($C20,$C$3:$C$9,0),MATCH(K$15,$C$3:$H$3,0))*INDEX('Detailed Assumptions'!$C$34:$I$40,MATCH('Assumption calculations'!$C20,'Detailed Assumptions'!$C$34:$C$40,0),MATCH('Assumption calculations'!K$14,'Detailed Assumptions'!$C$34:$I$34,0))+1</f>
        <v>1</v>
      </c>
      <c r="L20" s="49">
        <f>INDEX($C$3:$H$9,MATCH($C20,$C$3:$C$9,0),MATCH(L$15,$C$3:$H$3,0))*INDEX('Detailed Assumptions'!$C$34:$I$40,MATCH('Assumption calculations'!$C20,'Detailed Assumptions'!$C$34:$C$40,0),MATCH('Assumption calculations'!L$14,'Detailed Assumptions'!$C$34:$I$34,0))+1</f>
        <v>1</v>
      </c>
      <c r="M20" s="49">
        <f>INDEX($C$3:$H$9,MATCH($C20,$C$3:$C$9,0),MATCH(M$15,$C$3:$H$3,0))*INDEX('Detailed Assumptions'!$C$34:$I$40,MATCH('Assumption calculations'!$C20,'Detailed Assumptions'!$C$34:$C$40,0),MATCH('Assumption calculations'!M$14,'Detailed Assumptions'!$C$34:$I$34,0))+1</f>
        <v>1</v>
      </c>
      <c r="N20" s="49">
        <f>INDEX($C$3:$H$9,MATCH($C20,$C$3:$C$9,0),MATCH(N$15,$C$3:$H$3,0))*INDEX('Detailed Assumptions'!$C$34:$I$40,MATCH('Assumption calculations'!$C20,'Detailed Assumptions'!$C$34:$C$40,0),MATCH('Assumption calculations'!N$14,'Detailed Assumptions'!$C$34:$I$34,0))+1</f>
        <v>1</v>
      </c>
      <c r="O20" s="49">
        <f>INDEX($C$3:$H$9,MATCH($C20,$C$3:$C$9,0),MATCH(O$15,$C$3:$H$3,0))*INDEX('Detailed Assumptions'!$C$34:$I$40,MATCH('Assumption calculations'!$C20,'Detailed Assumptions'!$C$34:$C$40,0),MATCH('Assumption calculations'!O$14,'Detailed Assumptions'!$C$34:$I$34,0))+1</f>
        <v>1</v>
      </c>
      <c r="P20" s="49">
        <f>INDEX($C$3:$H$9,MATCH($C20,$C$3:$C$9,0),MATCH(P$15,$C$3:$H$3,0))*INDEX('Detailed Assumptions'!$C$34:$I$40,MATCH('Assumption calculations'!$C20,'Detailed Assumptions'!$C$34:$C$40,0),MATCH('Assumption calculations'!P$14,'Detailed Assumptions'!$C$34:$I$34,0))+1</f>
        <v>1</v>
      </c>
      <c r="Q20" s="49">
        <f>INDEX($C$3:$H$9,MATCH($C20,$C$3:$C$9,0),MATCH(Q$15,$C$3:$H$3,0))*INDEX('Detailed Assumptions'!$C$34:$I$40,MATCH('Assumption calculations'!$C20,'Detailed Assumptions'!$C$34:$C$40,0),MATCH('Assumption calculations'!Q$14,'Detailed Assumptions'!$C$34:$I$34,0))+1</f>
        <v>1.05</v>
      </c>
      <c r="R20" s="49">
        <f>INDEX($C$3:$H$9,MATCH($C20,$C$3:$C$9,0),MATCH(R$15,$C$3:$H$3,0))*INDEX('Detailed Assumptions'!$C$34:$I$40,MATCH('Assumption calculations'!$C20,'Detailed Assumptions'!$C$34:$C$40,0),MATCH('Assumption calculations'!R$14,'Detailed Assumptions'!$C$34:$I$34,0))+1</f>
        <v>1.2</v>
      </c>
      <c r="S20" s="49">
        <f>INDEX($C$3:$H$9,MATCH($C20,$C$3:$C$9,0),MATCH(S$15,$C$3:$H$3,0))*INDEX('Detailed Assumptions'!$C$34:$I$40,MATCH('Assumption calculations'!$C20,'Detailed Assumptions'!$C$34:$C$40,0),MATCH('Assumption calculations'!S$14,'Detailed Assumptions'!$C$34:$I$34,0))+1</f>
        <v>1</v>
      </c>
      <c r="T20" s="49">
        <f>INDEX($C$3:$H$9,MATCH($C20,$C$3:$C$9,0),MATCH(T$15,$C$3:$H$3,0))*INDEX('Detailed Assumptions'!$C$34:$I$40,MATCH('Assumption calculations'!$C20,'Detailed Assumptions'!$C$34:$C$40,0),MATCH('Assumption calculations'!T$14,'Detailed Assumptions'!$C$34:$I$34,0))+1</f>
        <v>1</v>
      </c>
      <c r="U20" s="49">
        <f>INDEX($C$3:$H$9,MATCH($C20,$C$3:$C$9,0),MATCH(U$15,$C$3:$H$3,0))*INDEX('Detailed Assumptions'!$C$34:$I$40,MATCH('Assumption calculations'!$C20,'Detailed Assumptions'!$C$34:$C$40,0),MATCH('Assumption calculations'!U$14,'Detailed Assumptions'!$C$34:$I$34,0))+1</f>
        <v>1</v>
      </c>
      <c r="V20" s="49">
        <f>INDEX($C$3:$H$9,MATCH($C20,$C$3:$C$9,0),MATCH(V$15,$C$3:$H$3,0))*INDEX('Detailed Assumptions'!$C$34:$I$40,MATCH('Assumption calculations'!$C20,'Detailed Assumptions'!$C$34:$C$40,0),MATCH('Assumption calculations'!V$14,'Detailed Assumptions'!$C$34:$I$34,0))+1</f>
        <v>1</v>
      </c>
      <c r="W20" s="49">
        <f>INDEX($C$3:$H$9,MATCH($C20,$C$3:$C$9,0),MATCH(W$15,$C$3:$H$3,0))*INDEX('Detailed Assumptions'!$C$34:$I$40,MATCH('Assumption calculations'!$C20,'Detailed Assumptions'!$C$34:$C$40,0),MATCH('Assumption calculations'!W$14,'Detailed Assumptions'!$C$34:$I$34,0))+1</f>
        <v>1</v>
      </c>
      <c r="X20" s="49">
        <f>INDEX($C$3:$H$9,MATCH($C20,$C$3:$C$9,0),MATCH(X$15,$C$3:$H$3,0))*INDEX('Detailed Assumptions'!$C$34:$I$40,MATCH('Assumption calculations'!$C20,'Detailed Assumptions'!$C$34:$C$40,0),MATCH('Assumption calculations'!X$14,'Detailed Assumptions'!$C$34:$I$34,0))+1</f>
        <v>1</v>
      </c>
      <c r="Y20" s="49">
        <f>INDEX($C$3:$H$9,MATCH($C20,$C$3:$C$9,0),MATCH(Y$15,$C$3:$H$3,0))*INDEX('Detailed Assumptions'!$C$34:$I$40,MATCH('Assumption calculations'!$C20,'Detailed Assumptions'!$C$34:$C$40,0),MATCH('Assumption calculations'!Y$14,'Detailed Assumptions'!$C$34:$I$34,0))+1</f>
        <v>1</v>
      </c>
      <c r="Z20" s="49">
        <f>INDEX($C$3:$H$9,MATCH($C20,$C$3:$C$9,0),MATCH(Z$15,$C$3:$H$3,0))*INDEX('Detailed Assumptions'!$C$34:$I$40,MATCH('Assumption calculations'!$C20,'Detailed Assumptions'!$C$34:$C$40,0),MATCH('Assumption calculations'!Z$14,'Detailed Assumptions'!$C$34:$I$34,0))+1</f>
        <v>1</v>
      </c>
      <c r="AA20" s="49">
        <f>INDEX($C$3:$H$9,MATCH($C20,$C$3:$C$9,0),MATCH(AA$15,$C$3:$H$3,0))*INDEX('Detailed Assumptions'!$C$34:$I$40,MATCH('Assumption calculations'!$C20,'Detailed Assumptions'!$C$34:$C$40,0),MATCH('Assumption calculations'!AA$14,'Detailed Assumptions'!$C$34:$I$34,0))+1</f>
        <v>1</v>
      </c>
      <c r="AB20" s="49">
        <f>INDEX($C$3:$H$9,MATCH($C20,$C$3:$C$9,0),MATCH(AB$15,$C$3:$H$3,0))*INDEX('Detailed Assumptions'!$C$34:$I$40,MATCH('Assumption calculations'!$C20,'Detailed Assumptions'!$C$34:$C$40,0),MATCH('Assumption calculations'!AB$14,'Detailed Assumptions'!$C$34:$I$34,0))+1</f>
        <v>1</v>
      </c>
      <c r="AC20" s="49">
        <f>INDEX($C$3:$H$9,MATCH($C20,$C$3:$C$9,0),MATCH(AC$15,$C$3:$H$3,0))*INDEX('Detailed Assumptions'!$C$34:$I$40,MATCH('Assumption calculations'!$C20,'Detailed Assumptions'!$C$34:$C$40,0),MATCH('Assumption calculations'!AC$14,'Detailed Assumptions'!$C$34:$I$34,0))+1</f>
        <v>1</v>
      </c>
      <c r="AD20" s="49">
        <f>INDEX($C$3:$H$9,MATCH($C20,$C$3:$C$9,0),MATCH(AD$15,$C$3:$H$3,0))*INDEX('Detailed Assumptions'!$C$34:$I$40,MATCH('Assumption calculations'!$C20,'Detailed Assumptions'!$C$34:$C$40,0),MATCH('Assumption calculations'!AD$14,'Detailed Assumptions'!$C$34:$I$34,0))+1</f>
        <v>1</v>
      </c>
      <c r="AE20" s="49">
        <f>INDEX($C$3:$H$9,MATCH($C20,$C$3:$C$9,0),MATCH(AE$15,$C$3:$H$3,0))*INDEX('Detailed Assumptions'!$C$34:$I$40,MATCH('Assumption calculations'!$C20,'Detailed Assumptions'!$C$34:$C$40,0),MATCH('Assumption calculations'!AE$14,'Detailed Assumptions'!$C$34:$I$34,0))+1</f>
        <v>1</v>
      </c>
      <c r="AF20" s="49">
        <f>INDEX($C$3:$H$9,MATCH($C20,$C$3:$C$9,0),MATCH(AF$15,$C$3:$H$3,0))*INDEX('Detailed Assumptions'!$C$34:$I$40,MATCH('Assumption calculations'!$C20,'Detailed Assumptions'!$C$34:$C$40,0),MATCH('Assumption calculations'!AF$14,'Detailed Assumptions'!$C$34:$I$34,0))+1</f>
        <v>1</v>
      </c>
      <c r="AG20" s="49">
        <f>INDEX($C$3:$H$9,MATCH($C20,$C$3:$C$9,0),MATCH(AG$15,$C$3:$H$3,0))*INDEX('Detailed Assumptions'!$C$34:$I$40,MATCH('Assumption calculations'!$C20,'Detailed Assumptions'!$C$34:$C$40,0),MATCH('Assumption calculations'!AG$14,'Detailed Assumptions'!$C$34:$I$34,0))+1</f>
        <v>1</v>
      </c>
    </row>
    <row r="21" spans="1:33" s="1" customFormat="1">
      <c r="C21" s="37" t="s">
        <v>135</v>
      </c>
      <c r="D21" s="49">
        <f>INDEX($C$3:$H$9,MATCH($C21,$C$3:$C$9,0),MATCH(D$15,$C$3:$H$3,0))*INDEX('Detailed Assumptions'!$C$34:$I$40,MATCH('Assumption calculations'!$C21,'Detailed Assumptions'!$C$34:$C$40,0),MATCH('Assumption calculations'!D$14,'Detailed Assumptions'!$C$34:$I$34,0))+1</f>
        <v>1.05</v>
      </c>
      <c r="E21" s="49">
        <f>INDEX($C$3:$H$9,MATCH($C21,$C$3:$C$9,0),MATCH(E$15,$C$3:$H$3,0))*INDEX('Detailed Assumptions'!$C$34:$I$40,MATCH('Assumption calculations'!$C21,'Detailed Assumptions'!$C$34:$C$40,0),MATCH('Assumption calculations'!E$14,'Detailed Assumptions'!$C$34:$I$34,0))+1</f>
        <v>1.1000000000000001</v>
      </c>
      <c r="F21" s="49">
        <f>INDEX($C$3:$H$9,MATCH($C21,$C$3:$C$9,0),MATCH(F$15,$C$3:$H$3,0))*INDEX('Detailed Assumptions'!$C$34:$I$40,MATCH('Assumption calculations'!$C21,'Detailed Assumptions'!$C$34:$C$40,0),MATCH('Assumption calculations'!F$14,'Detailed Assumptions'!$C$34:$I$34,0))+1</f>
        <v>1.1499999999999999</v>
      </c>
      <c r="G21" s="49">
        <f>INDEX($C$3:$H$9,MATCH($C21,$C$3:$C$9,0),MATCH(G$15,$C$3:$H$3,0))*INDEX('Detailed Assumptions'!$C$34:$I$40,MATCH('Assumption calculations'!$C21,'Detailed Assumptions'!$C$34:$C$40,0),MATCH('Assumption calculations'!G$14,'Detailed Assumptions'!$C$34:$I$34,0))+1</f>
        <v>1.2</v>
      </c>
      <c r="H21" s="49">
        <f>INDEX($C$3:$H$9,MATCH($C21,$C$3:$C$9,0),MATCH(H$15,$C$3:$H$3,0))*INDEX('Detailed Assumptions'!$C$34:$I$40,MATCH('Assumption calculations'!$C21,'Detailed Assumptions'!$C$34:$C$40,0),MATCH('Assumption calculations'!H$14,'Detailed Assumptions'!$C$34:$I$34,0))+1</f>
        <v>1.25</v>
      </c>
      <c r="I21" s="49">
        <f>INDEX($C$3:$H$9,MATCH($C21,$C$3:$C$9,0),MATCH(I$15,$C$3:$H$3,0))*INDEX('Detailed Assumptions'!$C$34:$I$40,MATCH('Assumption calculations'!$C21,'Detailed Assumptions'!$C$34:$C$40,0),MATCH('Assumption calculations'!I$14,'Detailed Assumptions'!$C$34:$I$34,0))+1</f>
        <v>1</v>
      </c>
      <c r="J21" s="49">
        <f>INDEX($C$3:$H$9,MATCH($C21,$C$3:$C$9,0),MATCH(J$15,$C$3:$H$3,0))*INDEX('Detailed Assumptions'!$C$34:$I$40,MATCH('Assumption calculations'!$C21,'Detailed Assumptions'!$C$34:$C$40,0),MATCH('Assumption calculations'!J$14,'Detailed Assumptions'!$C$34:$I$34,0))+1</f>
        <v>1</v>
      </c>
      <c r="K21" s="49">
        <f>INDEX($C$3:$H$9,MATCH($C21,$C$3:$C$9,0),MATCH(K$15,$C$3:$H$3,0))*INDEX('Detailed Assumptions'!$C$34:$I$40,MATCH('Assumption calculations'!$C21,'Detailed Assumptions'!$C$34:$C$40,0),MATCH('Assumption calculations'!K$14,'Detailed Assumptions'!$C$34:$I$34,0))+1</f>
        <v>1</v>
      </c>
      <c r="L21" s="49">
        <f>INDEX($C$3:$H$9,MATCH($C21,$C$3:$C$9,0),MATCH(L$15,$C$3:$H$3,0))*INDEX('Detailed Assumptions'!$C$34:$I$40,MATCH('Assumption calculations'!$C21,'Detailed Assumptions'!$C$34:$C$40,0),MATCH('Assumption calculations'!L$14,'Detailed Assumptions'!$C$34:$I$34,0))+1</f>
        <v>1</v>
      </c>
      <c r="M21" s="49">
        <f>INDEX($C$3:$H$9,MATCH($C21,$C$3:$C$9,0),MATCH(M$15,$C$3:$H$3,0))*INDEX('Detailed Assumptions'!$C$34:$I$40,MATCH('Assumption calculations'!$C21,'Detailed Assumptions'!$C$34:$C$40,0),MATCH('Assumption calculations'!M$14,'Detailed Assumptions'!$C$34:$I$34,0))+1</f>
        <v>1</v>
      </c>
      <c r="N21" s="49">
        <f>INDEX($C$3:$H$9,MATCH($C21,$C$3:$C$9,0),MATCH(N$15,$C$3:$H$3,0))*INDEX('Detailed Assumptions'!$C$34:$I$40,MATCH('Assumption calculations'!$C21,'Detailed Assumptions'!$C$34:$C$40,0),MATCH('Assumption calculations'!N$14,'Detailed Assumptions'!$C$34:$I$34,0))+1</f>
        <v>1</v>
      </c>
      <c r="O21" s="49">
        <f>INDEX($C$3:$H$9,MATCH($C21,$C$3:$C$9,0),MATCH(O$15,$C$3:$H$3,0))*INDEX('Detailed Assumptions'!$C$34:$I$40,MATCH('Assumption calculations'!$C21,'Detailed Assumptions'!$C$34:$C$40,0),MATCH('Assumption calculations'!O$14,'Detailed Assumptions'!$C$34:$I$34,0))+1</f>
        <v>1</v>
      </c>
      <c r="P21" s="49">
        <f>INDEX($C$3:$H$9,MATCH($C21,$C$3:$C$9,0),MATCH(P$15,$C$3:$H$3,0))*INDEX('Detailed Assumptions'!$C$34:$I$40,MATCH('Assumption calculations'!$C21,'Detailed Assumptions'!$C$34:$C$40,0),MATCH('Assumption calculations'!P$14,'Detailed Assumptions'!$C$34:$I$34,0))+1</f>
        <v>1</v>
      </c>
      <c r="Q21" s="49">
        <f>INDEX($C$3:$H$9,MATCH($C21,$C$3:$C$9,0),MATCH(Q$15,$C$3:$H$3,0))*INDEX('Detailed Assumptions'!$C$34:$I$40,MATCH('Assumption calculations'!$C21,'Detailed Assumptions'!$C$34:$C$40,0),MATCH('Assumption calculations'!Q$14,'Detailed Assumptions'!$C$34:$I$34,0))+1</f>
        <v>1</v>
      </c>
      <c r="R21" s="49">
        <f>INDEX($C$3:$H$9,MATCH($C21,$C$3:$C$9,0),MATCH(R$15,$C$3:$H$3,0))*INDEX('Detailed Assumptions'!$C$34:$I$40,MATCH('Assumption calculations'!$C21,'Detailed Assumptions'!$C$34:$C$40,0),MATCH('Assumption calculations'!R$14,'Detailed Assumptions'!$C$34:$I$34,0))+1</f>
        <v>1</v>
      </c>
      <c r="S21" s="49">
        <f>INDEX($C$3:$H$9,MATCH($C21,$C$3:$C$9,0),MATCH(S$15,$C$3:$H$3,0))*INDEX('Detailed Assumptions'!$C$34:$I$40,MATCH('Assumption calculations'!$C21,'Detailed Assumptions'!$C$34:$C$40,0),MATCH('Assumption calculations'!S$14,'Detailed Assumptions'!$C$34:$I$34,0))+1</f>
        <v>1</v>
      </c>
      <c r="T21" s="49">
        <f>INDEX($C$3:$H$9,MATCH($C21,$C$3:$C$9,0),MATCH(T$15,$C$3:$H$3,0))*INDEX('Detailed Assumptions'!$C$34:$I$40,MATCH('Assumption calculations'!$C21,'Detailed Assumptions'!$C$34:$C$40,0),MATCH('Assumption calculations'!T$14,'Detailed Assumptions'!$C$34:$I$34,0))+1</f>
        <v>1</v>
      </c>
      <c r="U21" s="49">
        <f>INDEX($C$3:$H$9,MATCH($C21,$C$3:$C$9,0),MATCH(U$15,$C$3:$H$3,0))*INDEX('Detailed Assumptions'!$C$34:$I$40,MATCH('Assumption calculations'!$C21,'Detailed Assumptions'!$C$34:$C$40,0),MATCH('Assumption calculations'!U$14,'Detailed Assumptions'!$C$34:$I$34,0))+1</f>
        <v>1</v>
      </c>
      <c r="V21" s="49">
        <f>INDEX($C$3:$H$9,MATCH($C21,$C$3:$C$9,0),MATCH(V$15,$C$3:$H$3,0))*INDEX('Detailed Assumptions'!$C$34:$I$40,MATCH('Assumption calculations'!$C21,'Detailed Assumptions'!$C$34:$C$40,0),MATCH('Assumption calculations'!V$14,'Detailed Assumptions'!$C$34:$I$34,0))+1</f>
        <v>1</v>
      </c>
      <c r="W21" s="49">
        <f>INDEX($C$3:$H$9,MATCH($C21,$C$3:$C$9,0),MATCH(W$15,$C$3:$H$3,0))*INDEX('Detailed Assumptions'!$C$34:$I$40,MATCH('Assumption calculations'!$C21,'Detailed Assumptions'!$C$34:$C$40,0),MATCH('Assumption calculations'!W$14,'Detailed Assumptions'!$C$34:$I$34,0))+1</f>
        <v>1</v>
      </c>
      <c r="X21" s="49">
        <f>INDEX($C$3:$H$9,MATCH($C21,$C$3:$C$9,0),MATCH(X$15,$C$3:$H$3,0))*INDEX('Detailed Assumptions'!$C$34:$I$40,MATCH('Assumption calculations'!$C21,'Detailed Assumptions'!$C$34:$C$40,0),MATCH('Assumption calculations'!X$14,'Detailed Assumptions'!$C$34:$I$34,0))+1</f>
        <v>1</v>
      </c>
      <c r="Y21" s="49">
        <f>INDEX($C$3:$H$9,MATCH($C21,$C$3:$C$9,0),MATCH(Y$15,$C$3:$H$3,0))*INDEX('Detailed Assumptions'!$C$34:$I$40,MATCH('Assumption calculations'!$C21,'Detailed Assumptions'!$C$34:$C$40,0),MATCH('Assumption calculations'!Y$14,'Detailed Assumptions'!$C$34:$I$34,0))+1</f>
        <v>1</v>
      </c>
      <c r="Z21" s="49">
        <f>INDEX($C$3:$H$9,MATCH($C21,$C$3:$C$9,0),MATCH(Z$15,$C$3:$H$3,0))*INDEX('Detailed Assumptions'!$C$34:$I$40,MATCH('Assumption calculations'!$C21,'Detailed Assumptions'!$C$34:$C$40,0),MATCH('Assumption calculations'!Z$14,'Detailed Assumptions'!$C$34:$I$34,0))+1</f>
        <v>1</v>
      </c>
      <c r="AA21" s="49">
        <f>INDEX($C$3:$H$9,MATCH($C21,$C$3:$C$9,0),MATCH(AA$15,$C$3:$H$3,0))*INDEX('Detailed Assumptions'!$C$34:$I$40,MATCH('Assumption calculations'!$C21,'Detailed Assumptions'!$C$34:$C$40,0),MATCH('Assumption calculations'!AA$14,'Detailed Assumptions'!$C$34:$I$34,0))+1</f>
        <v>1</v>
      </c>
      <c r="AB21" s="49">
        <f>INDEX($C$3:$H$9,MATCH($C21,$C$3:$C$9,0),MATCH(AB$15,$C$3:$H$3,0))*INDEX('Detailed Assumptions'!$C$34:$I$40,MATCH('Assumption calculations'!$C21,'Detailed Assumptions'!$C$34:$C$40,0),MATCH('Assumption calculations'!AB$14,'Detailed Assumptions'!$C$34:$I$34,0))+1</f>
        <v>1</v>
      </c>
      <c r="AC21" s="49">
        <f>INDEX($C$3:$H$9,MATCH($C21,$C$3:$C$9,0),MATCH(AC$15,$C$3:$H$3,0))*INDEX('Detailed Assumptions'!$C$34:$I$40,MATCH('Assumption calculations'!$C21,'Detailed Assumptions'!$C$34:$C$40,0),MATCH('Assumption calculations'!AC$14,'Detailed Assumptions'!$C$34:$I$34,0))+1</f>
        <v>1.0049999999999999</v>
      </c>
      <c r="AD21" s="49">
        <f>INDEX($C$3:$H$9,MATCH($C21,$C$3:$C$9,0),MATCH(AD$15,$C$3:$H$3,0))*INDEX('Detailed Assumptions'!$C$34:$I$40,MATCH('Assumption calculations'!$C21,'Detailed Assumptions'!$C$34:$C$40,0),MATCH('Assumption calculations'!AD$14,'Detailed Assumptions'!$C$34:$I$34,0))+1</f>
        <v>1.01</v>
      </c>
      <c r="AE21" s="49">
        <f>INDEX($C$3:$H$9,MATCH($C21,$C$3:$C$9,0),MATCH(AE$15,$C$3:$H$3,0))*INDEX('Detailed Assumptions'!$C$34:$I$40,MATCH('Assumption calculations'!$C21,'Detailed Assumptions'!$C$34:$C$40,0),MATCH('Assumption calculations'!AE$14,'Detailed Assumptions'!$C$34:$I$34,0))+1</f>
        <v>1.0149999999999999</v>
      </c>
      <c r="AF21" s="49">
        <f>INDEX($C$3:$H$9,MATCH($C21,$C$3:$C$9,0),MATCH(AF$15,$C$3:$H$3,0))*INDEX('Detailed Assumptions'!$C$34:$I$40,MATCH('Assumption calculations'!$C21,'Detailed Assumptions'!$C$34:$C$40,0),MATCH('Assumption calculations'!AF$14,'Detailed Assumptions'!$C$34:$I$34,0))+1</f>
        <v>1.02</v>
      </c>
      <c r="AG21" s="49">
        <f>INDEX($C$3:$H$9,MATCH($C21,$C$3:$C$9,0),MATCH(AG$15,$C$3:$H$3,0))*INDEX('Detailed Assumptions'!$C$34:$I$40,MATCH('Assumption calculations'!$C21,'Detailed Assumptions'!$C$34:$C$40,0),MATCH('Assumption calculations'!AG$14,'Detailed Assumptions'!$C$34:$I$34,0))+1</f>
        <v>1.0249999999999999</v>
      </c>
    </row>
    <row r="22" spans="1:33" s="1" customFormat="1">
      <c r="C22" s="37" t="s">
        <v>13</v>
      </c>
      <c r="D22" s="49">
        <f>INDEX($C$3:$H$9,MATCH($C22,$C$3:$C$9,0),MATCH(D$15,$C$3:$H$3,0))*INDEX('Detailed Assumptions'!$C$34:$I$40,MATCH('Assumption calculations'!$C22,'Detailed Assumptions'!$C$34:$C$40,0),MATCH('Assumption calculations'!D$14,'Detailed Assumptions'!$C$34:$I$34,0))+1</f>
        <v>1</v>
      </c>
      <c r="E22" s="49">
        <f>INDEX($C$3:$H$9,MATCH($C22,$C$3:$C$9,0),MATCH(E$15,$C$3:$H$3,0))*INDEX('Detailed Assumptions'!$C$34:$I$40,MATCH('Assumption calculations'!$C22,'Detailed Assumptions'!$C$34:$C$40,0),MATCH('Assumption calculations'!E$14,'Detailed Assumptions'!$C$34:$I$34,0))+1</f>
        <v>1</v>
      </c>
      <c r="F22" s="49">
        <f>INDEX($C$3:$H$9,MATCH($C22,$C$3:$C$9,0),MATCH(F$15,$C$3:$H$3,0))*INDEX('Detailed Assumptions'!$C$34:$I$40,MATCH('Assumption calculations'!$C22,'Detailed Assumptions'!$C$34:$C$40,0),MATCH('Assumption calculations'!F$14,'Detailed Assumptions'!$C$34:$I$34,0))+1</f>
        <v>1</v>
      </c>
      <c r="G22" s="49">
        <f>INDEX($C$3:$H$9,MATCH($C22,$C$3:$C$9,0),MATCH(G$15,$C$3:$H$3,0))*INDEX('Detailed Assumptions'!$C$34:$I$40,MATCH('Assumption calculations'!$C22,'Detailed Assumptions'!$C$34:$C$40,0),MATCH('Assumption calculations'!G$14,'Detailed Assumptions'!$C$34:$I$34,0))+1</f>
        <v>1</v>
      </c>
      <c r="H22" s="49">
        <f>INDEX($C$3:$H$9,MATCH($C22,$C$3:$C$9,0),MATCH(H$15,$C$3:$H$3,0))*INDEX('Detailed Assumptions'!$C$34:$I$40,MATCH('Assumption calculations'!$C22,'Detailed Assumptions'!$C$34:$C$40,0),MATCH('Assumption calculations'!H$14,'Detailed Assumptions'!$C$34:$I$34,0))+1</f>
        <v>1</v>
      </c>
      <c r="I22" s="49">
        <f>INDEX($C$3:$H$9,MATCH($C22,$C$3:$C$9,0),MATCH(I$15,$C$3:$H$3,0))*INDEX('Detailed Assumptions'!$C$34:$I$40,MATCH('Assumption calculations'!$C22,'Detailed Assumptions'!$C$34:$C$40,0),MATCH('Assumption calculations'!I$14,'Detailed Assumptions'!$C$34:$I$34,0))+1</f>
        <v>1</v>
      </c>
      <c r="J22" s="49">
        <f>INDEX($C$3:$H$9,MATCH($C22,$C$3:$C$9,0),MATCH(J$15,$C$3:$H$3,0))*INDEX('Detailed Assumptions'!$C$34:$I$40,MATCH('Assumption calculations'!$C22,'Detailed Assumptions'!$C$34:$C$40,0),MATCH('Assumption calculations'!J$14,'Detailed Assumptions'!$C$34:$I$34,0))+1</f>
        <v>1</v>
      </c>
      <c r="K22" s="49">
        <f>INDEX($C$3:$H$9,MATCH($C22,$C$3:$C$9,0),MATCH(K$15,$C$3:$H$3,0))*INDEX('Detailed Assumptions'!$C$34:$I$40,MATCH('Assumption calculations'!$C22,'Detailed Assumptions'!$C$34:$C$40,0),MATCH('Assumption calculations'!K$14,'Detailed Assumptions'!$C$34:$I$34,0))+1</f>
        <v>1</v>
      </c>
      <c r="L22" s="49">
        <f>INDEX($C$3:$H$9,MATCH($C22,$C$3:$C$9,0),MATCH(L$15,$C$3:$H$3,0))*INDEX('Detailed Assumptions'!$C$34:$I$40,MATCH('Assumption calculations'!$C22,'Detailed Assumptions'!$C$34:$C$40,0),MATCH('Assumption calculations'!L$14,'Detailed Assumptions'!$C$34:$I$34,0))+1</f>
        <v>1.0049999999999999</v>
      </c>
      <c r="M22" s="49">
        <f>INDEX($C$3:$H$9,MATCH($C22,$C$3:$C$9,0),MATCH(M$15,$C$3:$H$3,0))*INDEX('Detailed Assumptions'!$C$34:$I$40,MATCH('Assumption calculations'!$C22,'Detailed Assumptions'!$C$34:$C$40,0),MATCH('Assumption calculations'!M$14,'Detailed Assumptions'!$C$34:$I$34,0))+1</f>
        <v>1.02</v>
      </c>
      <c r="N22" s="49">
        <f>INDEX($C$3:$H$9,MATCH($C22,$C$3:$C$9,0),MATCH(N$15,$C$3:$H$3,0))*INDEX('Detailed Assumptions'!$C$34:$I$40,MATCH('Assumption calculations'!$C22,'Detailed Assumptions'!$C$34:$C$40,0),MATCH('Assumption calculations'!N$14,'Detailed Assumptions'!$C$34:$I$34,0))+1</f>
        <v>1</v>
      </c>
      <c r="O22" s="49">
        <f>INDEX($C$3:$H$9,MATCH($C22,$C$3:$C$9,0),MATCH(O$15,$C$3:$H$3,0))*INDEX('Detailed Assumptions'!$C$34:$I$40,MATCH('Assumption calculations'!$C22,'Detailed Assumptions'!$C$34:$C$40,0),MATCH('Assumption calculations'!O$14,'Detailed Assumptions'!$C$34:$I$34,0))+1</f>
        <v>1</v>
      </c>
      <c r="P22" s="49">
        <f>INDEX($C$3:$H$9,MATCH($C22,$C$3:$C$9,0),MATCH(P$15,$C$3:$H$3,0))*INDEX('Detailed Assumptions'!$C$34:$I$40,MATCH('Assumption calculations'!$C22,'Detailed Assumptions'!$C$34:$C$40,0),MATCH('Assumption calculations'!P$14,'Detailed Assumptions'!$C$34:$I$34,0))+1</f>
        <v>1</v>
      </c>
      <c r="Q22" s="49">
        <f>INDEX($C$3:$H$9,MATCH($C22,$C$3:$C$9,0),MATCH(Q$15,$C$3:$H$3,0))*INDEX('Detailed Assumptions'!$C$34:$I$40,MATCH('Assumption calculations'!$C22,'Detailed Assumptions'!$C$34:$C$40,0),MATCH('Assumption calculations'!Q$14,'Detailed Assumptions'!$C$34:$I$34,0))+1</f>
        <v>1</v>
      </c>
      <c r="R22" s="49">
        <f>INDEX($C$3:$H$9,MATCH($C22,$C$3:$C$9,0),MATCH(R$15,$C$3:$H$3,0))*INDEX('Detailed Assumptions'!$C$34:$I$40,MATCH('Assumption calculations'!$C22,'Detailed Assumptions'!$C$34:$C$40,0),MATCH('Assumption calculations'!R$14,'Detailed Assumptions'!$C$34:$I$34,0))+1</f>
        <v>1</v>
      </c>
      <c r="S22" s="49">
        <f>INDEX($C$3:$H$9,MATCH($C22,$C$3:$C$9,0),MATCH(S$15,$C$3:$H$3,0))*INDEX('Detailed Assumptions'!$C$34:$I$40,MATCH('Assumption calculations'!$C22,'Detailed Assumptions'!$C$34:$C$40,0),MATCH('Assumption calculations'!S$14,'Detailed Assumptions'!$C$34:$I$34,0))+1</f>
        <v>1</v>
      </c>
      <c r="T22" s="49">
        <f>INDEX($C$3:$H$9,MATCH($C22,$C$3:$C$9,0),MATCH(T$15,$C$3:$H$3,0))*INDEX('Detailed Assumptions'!$C$34:$I$40,MATCH('Assumption calculations'!$C22,'Detailed Assumptions'!$C$34:$C$40,0),MATCH('Assumption calculations'!T$14,'Detailed Assumptions'!$C$34:$I$34,0))+1</f>
        <v>1</v>
      </c>
      <c r="U22" s="49">
        <f>INDEX($C$3:$H$9,MATCH($C22,$C$3:$C$9,0),MATCH(U$15,$C$3:$H$3,0))*INDEX('Detailed Assumptions'!$C$34:$I$40,MATCH('Assumption calculations'!$C22,'Detailed Assumptions'!$C$34:$C$40,0),MATCH('Assumption calculations'!U$14,'Detailed Assumptions'!$C$34:$I$34,0))+1</f>
        <v>1</v>
      </c>
      <c r="V22" s="49">
        <f>INDEX($C$3:$H$9,MATCH($C22,$C$3:$C$9,0),MATCH(V$15,$C$3:$H$3,0))*INDEX('Detailed Assumptions'!$C$34:$I$40,MATCH('Assumption calculations'!$C22,'Detailed Assumptions'!$C$34:$C$40,0),MATCH('Assumption calculations'!V$14,'Detailed Assumptions'!$C$34:$I$34,0))+1</f>
        <v>1</v>
      </c>
      <c r="W22" s="49">
        <f>INDEX($C$3:$H$9,MATCH($C22,$C$3:$C$9,0),MATCH(W$15,$C$3:$H$3,0))*INDEX('Detailed Assumptions'!$C$34:$I$40,MATCH('Assumption calculations'!$C22,'Detailed Assumptions'!$C$34:$C$40,0),MATCH('Assumption calculations'!W$14,'Detailed Assumptions'!$C$34:$I$34,0))+1</f>
        <v>1</v>
      </c>
      <c r="X22" s="49">
        <f>INDEX($C$3:$H$9,MATCH($C22,$C$3:$C$9,0),MATCH(X$15,$C$3:$H$3,0))*INDEX('Detailed Assumptions'!$C$34:$I$40,MATCH('Assumption calculations'!$C22,'Detailed Assumptions'!$C$34:$C$40,0),MATCH('Assumption calculations'!X$14,'Detailed Assumptions'!$C$34:$I$34,0))+1</f>
        <v>1</v>
      </c>
      <c r="Y22" s="49">
        <f>INDEX($C$3:$H$9,MATCH($C22,$C$3:$C$9,0),MATCH(Y$15,$C$3:$H$3,0))*INDEX('Detailed Assumptions'!$C$34:$I$40,MATCH('Assumption calculations'!$C22,'Detailed Assumptions'!$C$34:$C$40,0),MATCH('Assumption calculations'!Y$14,'Detailed Assumptions'!$C$34:$I$34,0))+1</f>
        <v>1</v>
      </c>
      <c r="Z22" s="49">
        <f>INDEX($C$3:$H$9,MATCH($C22,$C$3:$C$9,0),MATCH(Z$15,$C$3:$H$3,0))*INDEX('Detailed Assumptions'!$C$34:$I$40,MATCH('Assumption calculations'!$C22,'Detailed Assumptions'!$C$34:$C$40,0),MATCH('Assumption calculations'!Z$14,'Detailed Assumptions'!$C$34:$I$34,0))+1</f>
        <v>1</v>
      </c>
      <c r="AA22" s="49">
        <f>INDEX($C$3:$H$9,MATCH($C22,$C$3:$C$9,0),MATCH(AA$15,$C$3:$H$3,0))*INDEX('Detailed Assumptions'!$C$34:$I$40,MATCH('Assumption calculations'!$C22,'Detailed Assumptions'!$C$34:$C$40,0),MATCH('Assumption calculations'!AA$14,'Detailed Assumptions'!$C$34:$I$34,0))+1</f>
        <v>1.0049999999999999</v>
      </c>
      <c r="AB22" s="49">
        <f>INDEX($C$3:$H$9,MATCH($C22,$C$3:$C$9,0),MATCH(AB$15,$C$3:$H$3,0))*INDEX('Detailed Assumptions'!$C$34:$I$40,MATCH('Assumption calculations'!$C22,'Detailed Assumptions'!$C$34:$C$40,0),MATCH('Assumption calculations'!AB$14,'Detailed Assumptions'!$C$34:$I$34,0))+1</f>
        <v>1.02</v>
      </c>
      <c r="AC22" s="49">
        <f>INDEX($C$3:$H$9,MATCH($C22,$C$3:$C$9,0),MATCH(AC$15,$C$3:$H$3,0))*INDEX('Detailed Assumptions'!$C$34:$I$40,MATCH('Assumption calculations'!$C22,'Detailed Assumptions'!$C$34:$C$40,0),MATCH('Assumption calculations'!AC$14,'Detailed Assumptions'!$C$34:$I$34,0))+1</f>
        <v>1</v>
      </c>
      <c r="AD22" s="49">
        <f>INDEX($C$3:$H$9,MATCH($C22,$C$3:$C$9,0),MATCH(AD$15,$C$3:$H$3,0))*INDEX('Detailed Assumptions'!$C$34:$I$40,MATCH('Assumption calculations'!$C22,'Detailed Assumptions'!$C$34:$C$40,0),MATCH('Assumption calculations'!AD$14,'Detailed Assumptions'!$C$34:$I$34,0))+1</f>
        <v>1</v>
      </c>
      <c r="AE22" s="49">
        <f>INDEX($C$3:$H$9,MATCH($C22,$C$3:$C$9,0),MATCH(AE$15,$C$3:$H$3,0))*INDEX('Detailed Assumptions'!$C$34:$I$40,MATCH('Assumption calculations'!$C22,'Detailed Assumptions'!$C$34:$C$40,0),MATCH('Assumption calculations'!AE$14,'Detailed Assumptions'!$C$34:$I$34,0))+1</f>
        <v>1</v>
      </c>
      <c r="AF22" s="49">
        <f>INDEX($C$3:$H$9,MATCH($C22,$C$3:$C$9,0),MATCH(AF$15,$C$3:$H$3,0))*INDEX('Detailed Assumptions'!$C$34:$I$40,MATCH('Assumption calculations'!$C22,'Detailed Assumptions'!$C$34:$C$40,0),MATCH('Assumption calculations'!AF$14,'Detailed Assumptions'!$C$34:$I$34,0))+1</f>
        <v>1.0049999999999999</v>
      </c>
      <c r="AG22" s="49">
        <f>INDEX($C$3:$H$9,MATCH($C22,$C$3:$C$9,0),MATCH(AG$15,$C$3:$H$3,0))*INDEX('Detailed Assumptions'!$C$34:$I$40,MATCH('Assumption calculations'!$C22,'Detailed Assumptions'!$C$34:$C$40,0),MATCH('Assumption calculations'!AG$14,'Detailed Assumptions'!$C$34:$I$34,0))+1</f>
        <v>1.02</v>
      </c>
    </row>
    <row r="23" spans="1:33" s="1" customFormat="1">
      <c r="C23" s="37" t="s">
        <v>14</v>
      </c>
      <c r="D23" s="49">
        <f>INDEX($C$3:$H$9,MATCH($C23,$C$3:$C$9,0),MATCH(D$15,$C$3:$H$3,0))*INDEX('Detailed Assumptions'!$C$34:$I$40,MATCH('Assumption calculations'!$C23,'Detailed Assumptions'!$C$34:$C$40,0),MATCH('Assumption calculations'!D$14,'Detailed Assumptions'!$C$34:$I$34,0))+1</f>
        <v>1</v>
      </c>
      <c r="E23" s="49">
        <f>INDEX($C$3:$H$9,MATCH($C23,$C$3:$C$9,0),MATCH(E$15,$C$3:$H$3,0))*INDEX('Detailed Assumptions'!$C$34:$I$40,MATCH('Assumption calculations'!$C23,'Detailed Assumptions'!$C$34:$C$40,0),MATCH('Assumption calculations'!E$14,'Detailed Assumptions'!$C$34:$I$34,0))+1</f>
        <v>1</v>
      </c>
      <c r="F23" s="49">
        <f>INDEX($C$3:$H$9,MATCH($C23,$C$3:$C$9,0),MATCH(F$15,$C$3:$H$3,0))*INDEX('Detailed Assumptions'!$C$34:$I$40,MATCH('Assumption calculations'!$C23,'Detailed Assumptions'!$C$34:$C$40,0),MATCH('Assumption calculations'!F$14,'Detailed Assumptions'!$C$34:$I$34,0))+1</f>
        <v>1</v>
      </c>
      <c r="G23" s="49">
        <f>INDEX($C$3:$H$9,MATCH($C23,$C$3:$C$9,0),MATCH(G$15,$C$3:$H$3,0))*INDEX('Detailed Assumptions'!$C$34:$I$40,MATCH('Assumption calculations'!$C23,'Detailed Assumptions'!$C$34:$C$40,0),MATCH('Assumption calculations'!G$14,'Detailed Assumptions'!$C$34:$I$34,0))+1</f>
        <v>1</v>
      </c>
      <c r="H23" s="49">
        <f>INDEX($C$3:$H$9,MATCH($C23,$C$3:$C$9,0),MATCH(H$15,$C$3:$H$3,0))*INDEX('Detailed Assumptions'!$C$34:$I$40,MATCH('Assumption calculations'!$C23,'Detailed Assumptions'!$C$34:$C$40,0),MATCH('Assumption calculations'!H$14,'Detailed Assumptions'!$C$34:$I$34,0))+1</f>
        <v>1</v>
      </c>
      <c r="I23" s="49">
        <f>INDEX($C$3:$H$9,MATCH($C23,$C$3:$C$9,0),MATCH(I$15,$C$3:$H$3,0))*INDEX('Detailed Assumptions'!$C$34:$I$40,MATCH('Assumption calculations'!$C23,'Detailed Assumptions'!$C$34:$C$40,0),MATCH('Assumption calculations'!I$14,'Detailed Assumptions'!$C$34:$I$34,0))+1</f>
        <v>1</v>
      </c>
      <c r="J23" s="49">
        <f>INDEX($C$3:$H$9,MATCH($C23,$C$3:$C$9,0),MATCH(J$15,$C$3:$H$3,0))*INDEX('Detailed Assumptions'!$C$34:$I$40,MATCH('Assumption calculations'!$C23,'Detailed Assumptions'!$C$34:$C$40,0),MATCH('Assumption calculations'!J$14,'Detailed Assumptions'!$C$34:$I$34,0))+1</f>
        <v>1</v>
      </c>
      <c r="K23" s="49">
        <f>INDEX($C$3:$H$9,MATCH($C23,$C$3:$C$9,0),MATCH(K$15,$C$3:$H$3,0))*INDEX('Detailed Assumptions'!$C$34:$I$40,MATCH('Assumption calculations'!$C23,'Detailed Assumptions'!$C$34:$C$40,0),MATCH('Assumption calculations'!K$14,'Detailed Assumptions'!$C$34:$I$34,0))+1</f>
        <v>1.0125</v>
      </c>
      <c r="L23" s="49">
        <f>INDEX($C$3:$H$9,MATCH($C23,$C$3:$C$9,0),MATCH(L$15,$C$3:$H$3,0))*INDEX('Detailed Assumptions'!$C$34:$I$40,MATCH('Assumption calculations'!$C23,'Detailed Assumptions'!$C$34:$C$40,0),MATCH('Assumption calculations'!L$14,'Detailed Assumptions'!$C$34:$I$34,0))+1</f>
        <v>1.0249999999999999</v>
      </c>
      <c r="M23" s="49">
        <f>INDEX($C$3:$H$9,MATCH($C23,$C$3:$C$9,0),MATCH(M$15,$C$3:$H$3,0))*INDEX('Detailed Assumptions'!$C$34:$I$40,MATCH('Assumption calculations'!$C23,'Detailed Assumptions'!$C$34:$C$40,0),MATCH('Assumption calculations'!M$14,'Detailed Assumptions'!$C$34:$I$34,0))+1</f>
        <v>1.0375000000000001</v>
      </c>
      <c r="N23" s="49">
        <f>INDEX($C$3:$H$9,MATCH($C23,$C$3:$C$9,0),MATCH(N$15,$C$3:$H$3,0))*INDEX('Detailed Assumptions'!$C$34:$I$40,MATCH('Assumption calculations'!$C23,'Detailed Assumptions'!$C$34:$C$40,0),MATCH('Assumption calculations'!N$14,'Detailed Assumptions'!$C$34:$I$34,0))+1</f>
        <v>1</v>
      </c>
      <c r="O23" s="49">
        <f>INDEX($C$3:$H$9,MATCH($C23,$C$3:$C$9,0),MATCH(O$15,$C$3:$H$3,0))*INDEX('Detailed Assumptions'!$C$34:$I$40,MATCH('Assumption calculations'!$C23,'Detailed Assumptions'!$C$34:$C$40,0),MATCH('Assumption calculations'!O$14,'Detailed Assumptions'!$C$34:$I$34,0))+1</f>
        <v>1</v>
      </c>
      <c r="P23" s="49">
        <f>INDEX($C$3:$H$9,MATCH($C23,$C$3:$C$9,0),MATCH(P$15,$C$3:$H$3,0))*INDEX('Detailed Assumptions'!$C$34:$I$40,MATCH('Assumption calculations'!$C23,'Detailed Assumptions'!$C$34:$C$40,0),MATCH('Assumption calculations'!P$14,'Detailed Assumptions'!$C$34:$I$34,0))+1</f>
        <v>1</v>
      </c>
      <c r="Q23" s="49">
        <f>INDEX($C$3:$H$9,MATCH($C23,$C$3:$C$9,0),MATCH(Q$15,$C$3:$H$3,0))*INDEX('Detailed Assumptions'!$C$34:$I$40,MATCH('Assumption calculations'!$C23,'Detailed Assumptions'!$C$34:$C$40,0),MATCH('Assumption calculations'!Q$14,'Detailed Assumptions'!$C$34:$I$34,0))+1</f>
        <v>1</v>
      </c>
      <c r="R23" s="49">
        <f>INDEX($C$3:$H$9,MATCH($C23,$C$3:$C$9,0),MATCH(R$15,$C$3:$H$3,0))*INDEX('Detailed Assumptions'!$C$34:$I$40,MATCH('Assumption calculations'!$C23,'Detailed Assumptions'!$C$34:$C$40,0),MATCH('Assumption calculations'!R$14,'Detailed Assumptions'!$C$34:$I$34,0))+1</f>
        <v>1</v>
      </c>
      <c r="S23" s="49">
        <f>INDEX($C$3:$H$9,MATCH($C23,$C$3:$C$9,0),MATCH(S$15,$C$3:$H$3,0))*INDEX('Detailed Assumptions'!$C$34:$I$40,MATCH('Assumption calculations'!$C23,'Detailed Assumptions'!$C$34:$C$40,0),MATCH('Assumption calculations'!S$14,'Detailed Assumptions'!$C$34:$I$34,0))+1</f>
        <v>1</v>
      </c>
      <c r="T23" s="49">
        <f>INDEX($C$3:$H$9,MATCH($C23,$C$3:$C$9,0),MATCH(T$15,$C$3:$H$3,0))*INDEX('Detailed Assumptions'!$C$34:$I$40,MATCH('Assumption calculations'!$C23,'Detailed Assumptions'!$C$34:$C$40,0),MATCH('Assumption calculations'!T$14,'Detailed Assumptions'!$C$34:$I$34,0))+1</f>
        <v>1</v>
      </c>
      <c r="U23" s="49">
        <f>INDEX($C$3:$H$9,MATCH($C23,$C$3:$C$9,0),MATCH(U$15,$C$3:$H$3,0))*INDEX('Detailed Assumptions'!$C$34:$I$40,MATCH('Assumption calculations'!$C23,'Detailed Assumptions'!$C$34:$C$40,0),MATCH('Assumption calculations'!U$14,'Detailed Assumptions'!$C$34:$I$34,0))+1</f>
        <v>1.0024999999999999</v>
      </c>
      <c r="V23" s="49">
        <f>INDEX($C$3:$H$9,MATCH($C23,$C$3:$C$9,0),MATCH(V$15,$C$3:$H$3,0))*INDEX('Detailed Assumptions'!$C$34:$I$40,MATCH('Assumption calculations'!$C23,'Detailed Assumptions'!$C$34:$C$40,0),MATCH('Assumption calculations'!V$14,'Detailed Assumptions'!$C$34:$I$34,0))+1</f>
        <v>1.0049999999999999</v>
      </c>
      <c r="W23" s="49">
        <f>INDEX($C$3:$H$9,MATCH($C23,$C$3:$C$9,0),MATCH(W$15,$C$3:$H$3,0))*INDEX('Detailed Assumptions'!$C$34:$I$40,MATCH('Assumption calculations'!$C23,'Detailed Assumptions'!$C$34:$C$40,0),MATCH('Assumption calculations'!W$14,'Detailed Assumptions'!$C$34:$I$34,0))+1</f>
        <v>1.0075000000000001</v>
      </c>
      <c r="X23" s="49">
        <f>INDEX($C$3:$H$9,MATCH($C23,$C$3:$C$9,0),MATCH(X$15,$C$3:$H$3,0))*INDEX('Detailed Assumptions'!$C$34:$I$40,MATCH('Assumption calculations'!$C23,'Detailed Assumptions'!$C$34:$C$40,0),MATCH('Assumption calculations'!X$14,'Detailed Assumptions'!$C$34:$I$34,0))+1</f>
        <v>1</v>
      </c>
      <c r="Y23" s="49">
        <f>INDEX($C$3:$H$9,MATCH($C23,$C$3:$C$9,0),MATCH(Y$15,$C$3:$H$3,0))*INDEX('Detailed Assumptions'!$C$34:$I$40,MATCH('Assumption calculations'!$C23,'Detailed Assumptions'!$C$34:$C$40,0),MATCH('Assumption calculations'!Y$14,'Detailed Assumptions'!$C$34:$I$34,0))+1</f>
        <v>1</v>
      </c>
      <c r="Z23" s="49">
        <f>INDEX($C$3:$H$9,MATCH($C23,$C$3:$C$9,0),MATCH(Z$15,$C$3:$H$3,0))*INDEX('Detailed Assumptions'!$C$34:$I$40,MATCH('Assumption calculations'!$C23,'Detailed Assumptions'!$C$34:$C$40,0),MATCH('Assumption calculations'!Z$14,'Detailed Assumptions'!$C$34:$I$34,0))+1</f>
        <v>1.0049999999999999</v>
      </c>
      <c r="AA23" s="49">
        <f>INDEX($C$3:$H$9,MATCH($C23,$C$3:$C$9,0),MATCH(AA$15,$C$3:$H$3,0))*INDEX('Detailed Assumptions'!$C$34:$I$40,MATCH('Assumption calculations'!$C23,'Detailed Assumptions'!$C$34:$C$40,0),MATCH('Assumption calculations'!AA$14,'Detailed Assumptions'!$C$34:$I$34,0))+1</f>
        <v>1.01</v>
      </c>
      <c r="AB23" s="49">
        <f>INDEX($C$3:$H$9,MATCH($C23,$C$3:$C$9,0),MATCH(AB$15,$C$3:$H$3,0))*INDEX('Detailed Assumptions'!$C$34:$I$40,MATCH('Assumption calculations'!$C23,'Detailed Assumptions'!$C$34:$C$40,0),MATCH('Assumption calculations'!AB$14,'Detailed Assumptions'!$C$34:$I$34,0))+1</f>
        <v>1.0149999999999999</v>
      </c>
      <c r="AC23" s="49">
        <f>INDEX($C$3:$H$9,MATCH($C23,$C$3:$C$9,0),MATCH(AC$15,$C$3:$H$3,0))*INDEX('Detailed Assumptions'!$C$34:$I$40,MATCH('Assumption calculations'!$C23,'Detailed Assumptions'!$C$34:$C$40,0),MATCH('Assumption calculations'!AC$14,'Detailed Assumptions'!$C$34:$I$34,0))+1</f>
        <v>1</v>
      </c>
      <c r="AD23" s="49">
        <f>INDEX($C$3:$H$9,MATCH($C23,$C$3:$C$9,0),MATCH(AD$15,$C$3:$H$3,0))*INDEX('Detailed Assumptions'!$C$34:$I$40,MATCH('Assumption calculations'!$C23,'Detailed Assumptions'!$C$34:$C$40,0),MATCH('Assumption calculations'!AD$14,'Detailed Assumptions'!$C$34:$I$34,0))+1</f>
        <v>1</v>
      </c>
      <c r="AE23" s="49">
        <f>INDEX($C$3:$H$9,MATCH($C23,$C$3:$C$9,0),MATCH(AE$15,$C$3:$H$3,0))*INDEX('Detailed Assumptions'!$C$34:$I$40,MATCH('Assumption calculations'!$C23,'Detailed Assumptions'!$C$34:$C$40,0),MATCH('Assumption calculations'!AE$14,'Detailed Assumptions'!$C$34:$I$34,0))+1</f>
        <v>1.0049999999999999</v>
      </c>
      <c r="AF23" s="49">
        <f>INDEX($C$3:$H$9,MATCH($C23,$C$3:$C$9,0),MATCH(AF$15,$C$3:$H$3,0))*INDEX('Detailed Assumptions'!$C$34:$I$40,MATCH('Assumption calculations'!$C23,'Detailed Assumptions'!$C$34:$C$40,0),MATCH('Assumption calculations'!AF$14,'Detailed Assumptions'!$C$34:$I$34,0))+1</f>
        <v>1.01</v>
      </c>
      <c r="AG23" s="49">
        <f>INDEX($C$3:$H$9,MATCH($C23,$C$3:$C$9,0),MATCH(AG$15,$C$3:$H$3,0))*INDEX('Detailed Assumptions'!$C$34:$I$40,MATCH('Assumption calculations'!$C23,'Detailed Assumptions'!$C$34:$C$40,0),MATCH('Assumption calculations'!AG$14,'Detailed Assumptions'!$C$34:$I$34,0))+1</f>
        <v>1.0149999999999999</v>
      </c>
    </row>
    <row r="24" spans="1:33" s="1" customFormat="1" ht="13" thickBot="1">
      <c r="C24" s="85" t="s">
        <v>15</v>
      </c>
      <c r="D24" s="92">
        <f>INDEX($C$3:$H$9,MATCH($C24,$C$3:$C$9,0),MATCH(D$15,$C$3:$H$3,0))*INDEX('Detailed Assumptions'!$C$34:$I$40,MATCH('Assumption calculations'!$C24,'Detailed Assumptions'!$C$34:$C$40,0),MATCH('Assumption calculations'!D$14,'Detailed Assumptions'!$C$34:$I$34,0))+1</f>
        <v>1</v>
      </c>
      <c r="E24" s="92">
        <f>INDEX($C$3:$H$9,MATCH($C24,$C$3:$C$9,0),MATCH(E$15,$C$3:$H$3,0))*INDEX('Detailed Assumptions'!$C$34:$I$40,MATCH('Assumption calculations'!$C24,'Detailed Assumptions'!$C$34:$C$40,0),MATCH('Assumption calculations'!E$14,'Detailed Assumptions'!$C$34:$I$34,0))+1</f>
        <v>1</v>
      </c>
      <c r="F24" s="92">
        <f>INDEX($C$3:$H$9,MATCH($C24,$C$3:$C$9,0),MATCH(F$15,$C$3:$H$3,0))*INDEX('Detailed Assumptions'!$C$34:$I$40,MATCH('Assumption calculations'!$C24,'Detailed Assumptions'!$C$34:$C$40,0),MATCH('Assumption calculations'!F$14,'Detailed Assumptions'!$C$34:$I$34,0))+1</f>
        <v>1</v>
      </c>
      <c r="G24" s="92">
        <f>INDEX($C$3:$H$9,MATCH($C24,$C$3:$C$9,0),MATCH(G$15,$C$3:$H$3,0))*INDEX('Detailed Assumptions'!$C$34:$I$40,MATCH('Assumption calculations'!$C24,'Detailed Assumptions'!$C$34:$C$40,0),MATCH('Assumption calculations'!G$14,'Detailed Assumptions'!$C$34:$I$34,0))+1</f>
        <v>1</v>
      </c>
      <c r="H24" s="92">
        <f>INDEX($C$3:$H$9,MATCH($C24,$C$3:$C$9,0),MATCH(H$15,$C$3:$H$3,0))*INDEX('Detailed Assumptions'!$C$34:$I$40,MATCH('Assumption calculations'!$C24,'Detailed Assumptions'!$C$34:$C$40,0),MATCH('Assumption calculations'!H$14,'Detailed Assumptions'!$C$34:$I$34,0))+1</f>
        <v>1</v>
      </c>
      <c r="I24" s="92">
        <f>INDEX($C$3:$H$9,MATCH($C24,$C$3:$C$9,0),MATCH(I$15,$C$3:$H$3,0))*INDEX('Detailed Assumptions'!$C$34:$I$40,MATCH('Assumption calculations'!$C24,'Detailed Assumptions'!$C$34:$C$40,0),MATCH('Assumption calculations'!I$14,'Detailed Assumptions'!$C$34:$I$34,0))+1</f>
        <v>1</v>
      </c>
      <c r="J24" s="92">
        <f>INDEX($C$3:$H$9,MATCH($C24,$C$3:$C$9,0),MATCH(J$15,$C$3:$H$3,0))*INDEX('Detailed Assumptions'!$C$34:$I$40,MATCH('Assumption calculations'!$C24,'Detailed Assumptions'!$C$34:$C$40,0),MATCH('Assumption calculations'!J$14,'Detailed Assumptions'!$C$34:$I$34,0))+1</f>
        <v>1</v>
      </c>
      <c r="K24" s="92">
        <f>INDEX($C$3:$H$9,MATCH($C24,$C$3:$C$9,0),MATCH(K$15,$C$3:$H$3,0))*INDEX('Detailed Assumptions'!$C$34:$I$40,MATCH('Assumption calculations'!$C24,'Detailed Assumptions'!$C$34:$C$40,0),MATCH('Assumption calculations'!K$14,'Detailed Assumptions'!$C$34:$I$34,0))+1</f>
        <v>1.0049999999999999</v>
      </c>
      <c r="L24" s="92">
        <f>INDEX($C$3:$H$9,MATCH($C24,$C$3:$C$9,0),MATCH(L$15,$C$3:$H$3,0))*INDEX('Detailed Assumptions'!$C$34:$I$40,MATCH('Assumption calculations'!$C24,'Detailed Assumptions'!$C$34:$C$40,0),MATCH('Assumption calculations'!L$14,'Detailed Assumptions'!$C$34:$I$34,0))+1</f>
        <v>1.02</v>
      </c>
      <c r="M24" s="92">
        <f>INDEX($C$3:$H$9,MATCH($C24,$C$3:$C$9,0),MATCH(M$15,$C$3:$H$3,0))*INDEX('Detailed Assumptions'!$C$34:$I$40,MATCH('Assumption calculations'!$C24,'Detailed Assumptions'!$C$34:$C$40,0),MATCH('Assumption calculations'!M$14,'Detailed Assumptions'!$C$34:$I$34,0))+1</f>
        <v>1.05</v>
      </c>
      <c r="N24" s="92">
        <f>INDEX($C$3:$H$9,MATCH($C24,$C$3:$C$9,0),MATCH(N$15,$C$3:$H$3,0))*INDEX('Detailed Assumptions'!$C$34:$I$40,MATCH('Assumption calculations'!$C24,'Detailed Assumptions'!$C$34:$C$40,0),MATCH('Assumption calculations'!N$14,'Detailed Assumptions'!$C$34:$I$34,0))+1</f>
        <v>1</v>
      </c>
      <c r="O24" s="92">
        <f>INDEX($C$3:$H$9,MATCH($C24,$C$3:$C$9,0),MATCH(O$15,$C$3:$H$3,0))*INDEX('Detailed Assumptions'!$C$34:$I$40,MATCH('Assumption calculations'!$C24,'Detailed Assumptions'!$C$34:$C$40,0),MATCH('Assumption calculations'!O$14,'Detailed Assumptions'!$C$34:$I$34,0))+1</f>
        <v>1</v>
      </c>
      <c r="P24" s="92">
        <f>INDEX($C$3:$H$9,MATCH($C24,$C$3:$C$9,0),MATCH(P$15,$C$3:$H$3,0))*INDEX('Detailed Assumptions'!$C$34:$I$40,MATCH('Assumption calculations'!$C24,'Detailed Assumptions'!$C$34:$C$40,0),MATCH('Assumption calculations'!P$14,'Detailed Assumptions'!$C$34:$I$34,0))+1</f>
        <v>1</v>
      </c>
      <c r="Q24" s="92">
        <f>INDEX($C$3:$H$9,MATCH($C24,$C$3:$C$9,0),MATCH(Q$15,$C$3:$H$3,0))*INDEX('Detailed Assumptions'!$C$34:$I$40,MATCH('Assumption calculations'!$C24,'Detailed Assumptions'!$C$34:$C$40,0),MATCH('Assumption calculations'!Q$14,'Detailed Assumptions'!$C$34:$I$34,0))+1</f>
        <v>1</v>
      </c>
      <c r="R24" s="92">
        <f>INDEX($C$3:$H$9,MATCH($C24,$C$3:$C$9,0),MATCH(R$15,$C$3:$H$3,0))*INDEX('Detailed Assumptions'!$C$34:$I$40,MATCH('Assumption calculations'!$C24,'Detailed Assumptions'!$C$34:$C$40,0),MATCH('Assumption calculations'!R$14,'Detailed Assumptions'!$C$34:$I$34,0))+1</f>
        <v>1</v>
      </c>
      <c r="S24" s="92">
        <f>INDEX($C$3:$H$9,MATCH($C24,$C$3:$C$9,0),MATCH(S$15,$C$3:$H$3,0))*INDEX('Detailed Assumptions'!$C$34:$I$40,MATCH('Assumption calculations'!$C24,'Detailed Assumptions'!$C$34:$C$40,0),MATCH('Assumption calculations'!S$14,'Detailed Assumptions'!$C$34:$I$34,0))+1</f>
        <v>1</v>
      </c>
      <c r="T24" s="92">
        <f>INDEX($C$3:$H$9,MATCH($C24,$C$3:$C$9,0),MATCH(T$15,$C$3:$H$3,0))*INDEX('Detailed Assumptions'!$C$34:$I$40,MATCH('Assumption calculations'!$C24,'Detailed Assumptions'!$C$34:$C$40,0),MATCH('Assumption calculations'!T$14,'Detailed Assumptions'!$C$34:$I$34,0))+1</f>
        <v>1</v>
      </c>
      <c r="U24" s="92">
        <f>INDEX($C$3:$H$9,MATCH($C24,$C$3:$C$9,0),MATCH(U$15,$C$3:$H$3,0))*INDEX('Detailed Assumptions'!$C$34:$I$40,MATCH('Assumption calculations'!$C24,'Detailed Assumptions'!$C$34:$C$40,0),MATCH('Assumption calculations'!U$14,'Detailed Assumptions'!$C$34:$I$34,0))+1</f>
        <v>1</v>
      </c>
      <c r="V24" s="92">
        <f>INDEX($C$3:$H$9,MATCH($C24,$C$3:$C$9,0),MATCH(V$15,$C$3:$H$3,0))*INDEX('Detailed Assumptions'!$C$34:$I$40,MATCH('Assumption calculations'!$C24,'Detailed Assumptions'!$C$34:$C$40,0),MATCH('Assumption calculations'!V$14,'Detailed Assumptions'!$C$34:$I$34,0))+1</f>
        <v>1</v>
      </c>
      <c r="W24" s="92">
        <f>INDEX($C$3:$H$9,MATCH($C24,$C$3:$C$9,0),MATCH(W$15,$C$3:$H$3,0))*INDEX('Detailed Assumptions'!$C$34:$I$40,MATCH('Assumption calculations'!$C24,'Detailed Assumptions'!$C$34:$C$40,0),MATCH('Assumption calculations'!W$14,'Detailed Assumptions'!$C$34:$I$34,0))+1</f>
        <v>1</v>
      </c>
      <c r="X24" s="92">
        <f>INDEX($C$3:$H$9,MATCH($C24,$C$3:$C$9,0),MATCH(X$15,$C$3:$H$3,0))*INDEX('Detailed Assumptions'!$C$34:$I$40,MATCH('Assumption calculations'!$C24,'Detailed Assumptions'!$C$34:$C$40,0),MATCH('Assumption calculations'!X$14,'Detailed Assumptions'!$C$34:$I$34,0))+1</f>
        <v>1</v>
      </c>
      <c r="Y24" s="92">
        <f>INDEX($C$3:$H$9,MATCH($C24,$C$3:$C$9,0),MATCH(Y$15,$C$3:$H$3,0))*INDEX('Detailed Assumptions'!$C$34:$I$40,MATCH('Assumption calculations'!$C24,'Detailed Assumptions'!$C$34:$C$40,0),MATCH('Assumption calculations'!Y$14,'Detailed Assumptions'!$C$34:$I$34,0))+1</f>
        <v>1</v>
      </c>
      <c r="Z24" s="92">
        <f>INDEX($C$3:$H$9,MATCH($C24,$C$3:$C$9,0),MATCH(Z$15,$C$3:$H$3,0))*INDEX('Detailed Assumptions'!$C$34:$I$40,MATCH('Assumption calculations'!$C24,'Detailed Assumptions'!$C$34:$C$40,0),MATCH('Assumption calculations'!Z$14,'Detailed Assumptions'!$C$34:$I$34,0))+1</f>
        <v>1.0049999999999999</v>
      </c>
      <c r="AA24" s="92">
        <f>INDEX($C$3:$H$9,MATCH($C24,$C$3:$C$9,0),MATCH(AA$15,$C$3:$H$3,0))*INDEX('Detailed Assumptions'!$C$34:$I$40,MATCH('Assumption calculations'!$C24,'Detailed Assumptions'!$C$34:$C$40,0),MATCH('Assumption calculations'!AA$14,'Detailed Assumptions'!$C$34:$I$34,0))+1</f>
        <v>1.02</v>
      </c>
      <c r="AB24" s="92">
        <f>INDEX($C$3:$H$9,MATCH($C24,$C$3:$C$9,0),MATCH(AB$15,$C$3:$H$3,0))*INDEX('Detailed Assumptions'!$C$34:$I$40,MATCH('Assumption calculations'!$C24,'Detailed Assumptions'!$C$34:$C$40,0),MATCH('Assumption calculations'!AB$14,'Detailed Assumptions'!$C$34:$I$34,0))+1</f>
        <v>1.05</v>
      </c>
      <c r="AC24" s="92">
        <f>INDEX($C$3:$H$9,MATCH($C24,$C$3:$C$9,0),MATCH(AC$15,$C$3:$H$3,0))*INDEX('Detailed Assumptions'!$C$34:$I$40,MATCH('Assumption calculations'!$C24,'Detailed Assumptions'!$C$34:$C$40,0),MATCH('Assumption calculations'!AC$14,'Detailed Assumptions'!$C$34:$I$34,0))+1</f>
        <v>1</v>
      </c>
      <c r="AD24" s="92">
        <f>INDEX($C$3:$H$9,MATCH($C24,$C$3:$C$9,0),MATCH(AD$15,$C$3:$H$3,0))*INDEX('Detailed Assumptions'!$C$34:$I$40,MATCH('Assumption calculations'!$C24,'Detailed Assumptions'!$C$34:$C$40,0),MATCH('Assumption calculations'!AD$14,'Detailed Assumptions'!$C$34:$I$34,0))+1</f>
        <v>1</v>
      </c>
      <c r="AE24" s="92">
        <f>INDEX($C$3:$H$9,MATCH($C24,$C$3:$C$9,0),MATCH(AE$15,$C$3:$H$3,0))*INDEX('Detailed Assumptions'!$C$34:$I$40,MATCH('Assumption calculations'!$C24,'Detailed Assumptions'!$C$34:$C$40,0),MATCH('Assumption calculations'!AE$14,'Detailed Assumptions'!$C$34:$I$34,0))+1</f>
        <v>1.0049999999999999</v>
      </c>
      <c r="AF24" s="92">
        <f>INDEX($C$3:$H$9,MATCH($C24,$C$3:$C$9,0),MATCH(AF$15,$C$3:$H$3,0))*INDEX('Detailed Assumptions'!$C$34:$I$40,MATCH('Assumption calculations'!$C24,'Detailed Assumptions'!$C$34:$C$40,0),MATCH('Assumption calculations'!AF$14,'Detailed Assumptions'!$C$34:$I$34,0))+1</f>
        <v>1.02</v>
      </c>
      <c r="AG24" s="92">
        <f>INDEX($C$3:$H$9,MATCH($C24,$C$3:$C$9,0),MATCH(AG$15,$C$3:$H$3,0))*INDEX('Detailed Assumptions'!$C$34:$I$40,MATCH('Assumption calculations'!$C24,'Detailed Assumptions'!$C$34:$C$40,0),MATCH('Assumption calculations'!AG$14,'Detailed Assumptions'!$C$34:$I$34,0))+1</f>
        <v>1.05</v>
      </c>
    </row>
    <row r="25" spans="1:33" s="1" customFormat="1" ht="13" thickTop="1">
      <c r="B25" s="1">
        <v>1</v>
      </c>
      <c r="C25" s="104" t="s">
        <v>110</v>
      </c>
      <c r="D25" s="49">
        <f>(LARGE(D$19:D$24,$B25)-1)*INDEX('Detailed Assumptions'!$C$66:$E$72,MATCH('Assumption calculations'!$B25,'Detailed Assumptions'!$C$66:$C$72,0),2)+1</f>
        <v>1.05</v>
      </c>
      <c r="E25" s="91">
        <f>(LARGE(E$19:E$24,$B25)-1)*INDEX('Detailed Assumptions'!$C$66:$E$72,MATCH('Assumption calculations'!$B25,'Detailed Assumptions'!$C$66:$C$72,0),2)+1</f>
        <v>1.1000000000000001</v>
      </c>
      <c r="F25" s="91">
        <f>(LARGE(F$19:F$24,$B25)-1)*INDEX('Detailed Assumptions'!$C$66:$E$72,MATCH('Assumption calculations'!$B25,'Detailed Assumptions'!$C$66:$C$72,0),2)+1</f>
        <v>1.1499999999999999</v>
      </c>
      <c r="G25" s="91">
        <f>(LARGE(G$19:G$24,$B25)-1)*INDEX('Detailed Assumptions'!$C$66:$E$72,MATCH('Assumption calculations'!$B25,'Detailed Assumptions'!$C$66:$C$72,0),2)+1</f>
        <v>1.2</v>
      </c>
      <c r="H25" s="91">
        <f>(LARGE(H$19:H$24,$B25)-1)*INDEX('Detailed Assumptions'!$C$66:$E$72,MATCH('Assumption calculations'!$B25,'Detailed Assumptions'!$C$66:$C$72,0),2)+1</f>
        <v>1.25</v>
      </c>
      <c r="I25" s="91">
        <f>(LARGE(I$19:I$24,$B25)-1)*INDEX('Detailed Assumptions'!$C$66:$E$72,MATCH('Assumption calculations'!$B25,'Detailed Assumptions'!$C$66:$C$72,0),2)+1</f>
        <v>1</v>
      </c>
      <c r="J25" s="91">
        <f>(LARGE(J$19:J$24,$B25)-1)*INDEX('Detailed Assumptions'!$C$66:$E$72,MATCH('Assumption calculations'!$B25,'Detailed Assumptions'!$C$66:$C$72,0),2)+1</f>
        <v>1</v>
      </c>
      <c r="K25" s="91">
        <f>(LARGE(K$19:K$24,$B25)-1)*INDEX('Detailed Assumptions'!$C$66:$E$72,MATCH('Assumption calculations'!$B25,'Detailed Assumptions'!$C$66:$C$72,0),2)+1</f>
        <v>1.0125</v>
      </c>
      <c r="L25" s="91">
        <f>(LARGE(L$19:L$24,$B25)-1)*INDEX('Detailed Assumptions'!$C$66:$E$72,MATCH('Assumption calculations'!$B25,'Detailed Assumptions'!$C$66:$C$72,0),2)+1</f>
        <v>1.0249999999999999</v>
      </c>
      <c r="M25" s="91">
        <f>(LARGE(M$19:M$24,$B25)-1)*INDEX('Detailed Assumptions'!$C$66:$E$72,MATCH('Assumption calculations'!$B25,'Detailed Assumptions'!$C$66:$C$72,0),2)+1</f>
        <v>1.05</v>
      </c>
      <c r="N25" s="91">
        <f>(LARGE(N$19:N$24,$B25)-1)*INDEX('Detailed Assumptions'!$C$66:$E$72,MATCH('Assumption calculations'!$B25,'Detailed Assumptions'!$C$66:$C$72,0),2)+1</f>
        <v>1</v>
      </c>
      <c r="O25" s="91">
        <f>(LARGE(O$19:O$24,$B25)-1)*INDEX('Detailed Assumptions'!$C$66:$E$72,MATCH('Assumption calculations'!$B25,'Detailed Assumptions'!$C$66:$C$72,0),2)+1</f>
        <v>1</v>
      </c>
      <c r="P25" s="91">
        <f>(LARGE(P$19:P$24,$B25)-1)*INDEX('Detailed Assumptions'!$C$66:$E$72,MATCH('Assumption calculations'!$B25,'Detailed Assumptions'!$C$66:$C$72,0),2)+1</f>
        <v>1.0249999999999999</v>
      </c>
      <c r="Q25" s="91">
        <f>(LARGE(Q$19:Q$24,$B25)-1)*INDEX('Detailed Assumptions'!$C$66:$E$72,MATCH('Assumption calculations'!$B25,'Detailed Assumptions'!$C$66:$C$72,0),2)+1</f>
        <v>1.05</v>
      </c>
      <c r="R25" s="91">
        <f>(LARGE(R$19:R$24,$B25)-1)*INDEX('Detailed Assumptions'!$C$66:$E$72,MATCH('Assumption calculations'!$B25,'Detailed Assumptions'!$C$66:$C$72,0),2)+1</f>
        <v>1.2</v>
      </c>
      <c r="S25" s="91">
        <f>(LARGE(S$19:S$24,$B25)-1)*INDEX('Detailed Assumptions'!$C$66:$E$72,MATCH('Assumption calculations'!$B25,'Detailed Assumptions'!$C$66:$C$72,0),2)+1</f>
        <v>1</v>
      </c>
      <c r="T25" s="91">
        <f>(LARGE(T$19:T$24,$B25)-1)*INDEX('Detailed Assumptions'!$C$66:$E$72,MATCH('Assumption calculations'!$B25,'Detailed Assumptions'!$C$66:$C$72,0),2)+1</f>
        <v>1</v>
      </c>
      <c r="U25" s="91">
        <f>(LARGE(U$19:U$24,$B25)-1)*INDEX('Detailed Assumptions'!$C$66:$E$72,MATCH('Assumption calculations'!$B25,'Detailed Assumptions'!$C$66:$C$72,0),2)+1</f>
        <v>1.0024999999999999</v>
      </c>
      <c r="V25" s="91">
        <f>(LARGE(V$19:V$24,$B25)-1)*INDEX('Detailed Assumptions'!$C$66:$E$72,MATCH('Assumption calculations'!$B25,'Detailed Assumptions'!$C$66:$C$72,0),2)+1</f>
        <v>1.0049999999999999</v>
      </c>
      <c r="W25" s="91">
        <f>(LARGE(W$19:W$24,$B25)-1)*INDEX('Detailed Assumptions'!$C$66:$E$72,MATCH('Assumption calculations'!$B25,'Detailed Assumptions'!$C$66:$C$72,0),2)+1</f>
        <v>1.0075000000000001</v>
      </c>
      <c r="X25" s="91">
        <f>(LARGE(X$19:X$24,$B25)-1)*INDEX('Detailed Assumptions'!$C$66:$E$72,MATCH('Assumption calculations'!$B25,'Detailed Assumptions'!$C$66:$C$72,0),2)+1</f>
        <v>1</v>
      </c>
      <c r="Y25" s="91">
        <f>(LARGE(Y$19:Y$24,$B25)-1)*INDEX('Detailed Assumptions'!$C$66:$E$72,MATCH('Assumption calculations'!$B25,'Detailed Assumptions'!$C$66:$C$72,0),2)+1</f>
        <v>1</v>
      </c>
      <c r="Z25" s="91">
        <f>(LARGE(Z$19:Z$24,$B25)-1)*INDEX('Detailed Assumptions'!$C$66:$E$72,MATCH('Assumption calculations'!$B25,'Detailed Assumptions'!$C$66:$C$72,0),2)+1</f>
        <v>1.0049999999999999</v>
      </c>
      <c r="AA25" s="91">
        <f>(LARGE(AA$19:AA$24,$B25)-1)*INDEX('Detailed Assumptions'!$C$66:$E$72,MATCH('Assumption calculations'!$B25,'Detailed Assumptions'!$C$66:$C$72,0),2)+1</f>
        <v>1.02</v>
      </c>
      <c r="AB25" s="91">
        <f>(LARGE(AB$19:AB$24,$B25)-1)*INDEX('Detailed Assumptions'!$C$66:$E$72,MATCH('Assumption calculations'!$B25,'Detailed Assumptions'!$C$66:$C$72,0),2)+1</f>
        <v>1.05</v>
      </c>
      <c r="AC25" s="91">
        <f>(LARGE(AC$19:AC$24,$B25)-1)*INDEX('Detailed Assumptions'!$C$66:$E$72,MATCH('Assumption calculations'!$B25,'Detailed Assumptions'!$C$66:$C$72,0),2)+1</f>
        <v>1.0049999999999999</v>
      </c>
      <c r="AD25" s="91">
        <f>(LARGE(AD$19:AD$24,$B25)-1)*INDEX('Detailed Assumptions'!$C$66:$E$72,MATCH('Assumption calculations'!$B25,'Detailed Assumptions'!$C$66:$C$72,0),2)+1</f>
        <v>1.01</v>
      </c>
      <c r="AE25" s="91">
        <f>(LARGE(AE$19:AE$24,$B25)-1)*INDEX('Detailed Assumptions'!$C$66:$E$72,MATCH('Assumption calculations'!$B25,'Detailed Assumptions'!$C$66:$C$72,0),2)+1</f>
        <v>1.0149999999999999</v>
      </c>
      <c r="AF25" s="91">
        <f>(LARGE(AF$19:AF$24,$B25)-1)*INDEX('Detailed Assumptions'!$C$66:$E$72,MATCH('Assumption calculations'!$B25,'Detailed Assumptions'!$C$66:$C$72,0),2)+1</f>
        <v>1.02</v>
      </c>
      <c r="AG25" s="91">
        <f>(LARGE(AG$19:AG$24,$B25)-1)*INDEX('Detailed Assumptions'!$C$66:$E$72,MATCH('Assumption calculations'!$B25,'Detailed Assumptions'!$C$66:$C$72,0),2)+1</f>
        <v>1.05</v>
      </c>
    </row>
    <row r="26" spans="1:33" s="1" customFormat="1">
      <c r="B26" s="1">
        <v>2</v>
      </c>
      <c r="C26" s="103" t="s">
        <v>111</v>
      </c>
      <c r="D26" s="49">
        <f>(LARGE(D$19:D$24,$B26)-1)*INDEX('Detailed Assumptions'!$C$66:$E$72,MATCH('Assumption calculations'!$B26,'Detailed Assumptions'!$C$66:$C$72,0),2)+1</f>
        <v>1</v>
      </c>
      <c r="E26" s="49">
        <f>(LARGE(E$19:E$24,$B26)-1)*INDEX('Detailed Assumptions'!$C$66:$E$72,MATCH('Assumption calculations'!$B26,'Detailed Assumptions'!$C$66:$C$72,0),2)+1</f>
        <v>1</v>
      </c>
      <c r="F26" s="49">
        <f>(LARGE(F$19:F$24,$B26)-1)*INDEX('Detailed Assumptions'!$C$66:$E$72,MATCH('Assumption calculations'!$B26,'Detailed Assumptions'!$C$66:$C$72,0),2)+1</f>
        <v>1</v>
      </c>
      <c r="G26" s="49">
        <f>(LARGE(G$19:G$24,$B26)-1)*INDEX('Detailed Assumptions'!$C$66:$E$72,MATCH('Assumption calculations'!$B26,'Detailed Assumptions'!$C$66:$C$72,0),2)+1</f>
        <v>1</v>
      </c>
      <c r="H26" s="49">
        <f>(LARGE(H$19:H$24,$B26)-1)*INDEX('Detailed Assumptions'!$C$66:$E$72,MATCH('Assumption calculations'!$B26,'Detailed Assumptions'!$C$66:$C$72,0),2)+1</f>
        <v>1</v>
      </c>
      <c r="I26" s="49">
        <f>(LARGE(I$19:I$24,$B26)-1)*INDEX('Detailed Assumptions'!$C$66:$E$72,MATCH('Assumption calculations'!$B26,'Detailed Assumptions'!$C$66:$C$72,0),2)+1</f>
        <v>1</v>
      </c>
      <c r="J26" s="49">
        <f>(LARGE(J$19:J$24,$B26)-1)*INDEX('Detailed Assumptions'!$C$66:$E$72,MATCH('Assumption calculations'!$B26,'Detailed Assumptions'!$C$66:$C$72,0),2)+1</f>
        <v>1</v>
      </c>
      <c r="K26" s="49">
        <f>(LARGE(K$19:K$24,$B26)-1)*INDEX('Detailed Assumptions'!$C$66:$E$72,MATCH('Assumption calculations'!$B26,'Detailed Assumptions'!$C$66:$C$72,0),2)+1</f>
        <v>1.0037499999999999</v>
      </c>
      <c r="L26" s="49">
        <f>(LARGE(L$19:L$24,$B26)-1)*INDEX('Detailed Assumptions'!$C$66:$E$72,MATCH('Assumption calculations'!$B26,'Detailed Assumptions'!$C$66:$C$72,0),2)+1</f>
        <v>1.0150000000000001</v>
      </c>
      <c r="M26" s="49">
        <f>(LARGE(M$19:M$24,$B26)-1)*INDEX('Detailed Assumptions'!$C$66:$E$72,MATCH('Assumption calculations'!$B26,'Detailed Assumptions'!$C$66:$C$72,0),2)+1</f>
        <v>1.0281250000000002</v>
      </c>
      <c r="N26" s="49">
        <f>(LARGE(N$19:N$24,$B26)-1)*INDEX('Detailed Assumptions'!$C$66:$E$72,MATCH('Assumption calculations'!$B26,'Detailed Assumptions'!$C$66:$C$72,0),2)+1</f>
        <v>1</v>
      </c>
      <c r="O26" s="49">
        <f>(LARGE(O$19:O$24,$B26)-1)*INDEX('Detailed Assumptions'!$C$66:$E$72,MATCH('Assumption calculations'!$B26,'Detailed Assumptions'!$C$66:$C$72,0),2)+1</f>
        <v>1</v>
      </c>
      <c r="P26" s="49">
        <f>(LARGE(P$19:P$24,$B26)-1)*INDEX('Detailed Assumptions'!$C$66:$E$72,MATCH('Assumption calculations'!$B26,'Detailed Assumptions'!$C$66:$C$72,0),2)+1</f>
        <v>1</v>
      </c>
      <c r="Q26" s="49">
        <f>(LARGE(Q$19:Q$24,$B26)-1)*INDEX('Detailed Assumptions'!$C$66:$E$72,MATCH('Assumption calculations'!$B26,'Detailed Assumptions'!$C$66:$C$72,0),2)+1</f>
        <v>1.0375000000000001</v>
      </c>
      <c r="R26" s="49">
        <f>(LARGE(R$19:R$24,$B26)-1)*INDEX('Detailed Assumptions'!$C$66:$E$72,MATCH('Assumption calculations'!$B26,'Detailed Assumptions'!$C$66:$C$72,0),2)+1</f>
        <v>1.0562499999999999</v>
      </c>
      <c r="S26" s="49">
        <f>(LARGE(S$19:S$24,$B26)-1)*INDEX('Detailed Assumptions'!$C$66:$E$72,MATCH('Assumption calculations'!$B26,'Detailed Assumptions'!$C$66:$C$72,0),2)+1</f>
        <v>1</v>
      </c>
      <c r="T26" s="49">
        <f>(LARGE(T$19:T$24,$B26)-1)*INDEX('Detailed Assumptions'!$C$66:$E$72,MATCH('Assumption calculations'!$B26,'Detailed Assumptions'!$C$66:$C$72,0),2)+1</f>
        <v>1</v>
      </c>
      <c r="U26" s="49">
        <f>(LARGE(U$19:U$24,$B26)-1)*INDEX('Detailed Assumptions'!$C$66:$E$72,MATCH('Assumption calculations'!$B26,'Detailed Assumptions'!$C$66:$C$72,0),2)+1</f>
        <v>1</v>
      </c>
      <c r="V26" s="49">
        <f>(LARGE(V$19:V$24,$B26)-1)*INDEX('Detailed Assumptions'!$C$66:$E$72,MATCH('Assumption calculations'!$B26,'Detailed Assumptions'!$C$66:$C$72,0),2)+1</f>
        <v>1</v>
      </c>
      <c r="W26" s="49">
        <f>(LARGE(W$19:W$24,$B26)-1)*INDEX('Detailed Assumptions'!$C$66:$E$72,MATCH('Assumption calculations'!$B26,'Detailed Assumptions'!$C$66:$C$72,0),2)+1</f>
        <v>1</v>
      </c>
      <c r="X26" s="49">
        <f>(LARGE(X$19:X$24,$B26)-1)*INDEX('Detailed Assumptions'!$C$66:$E$72,MATCH('Assumption calculations'!$B26,'Detailed Assumptions'!$C$66:$C$72,0),2)+1</f>
        <v>1</v>
      </c>
      <c r="Y26" s="49">
        <f>(LARGE(Y$19:Y$24,$B26)-1)*INDEX('Detailed Assumptions'!$C$66:$E$72,MATCH('Assumption calculations'!$B26,'Detailed Assumptions'!$C$66:$C$72,0),2)+1</f>
        <v>1</v>
      </c>
      <c r="Z26" s="49">
        <f>(LARGE(Z$19:Z$24,$B26)-1)*INDEX('Detailed Assumptions'!$C$66:$E$72,MATCH('Assumption calculations'!$B26,'Detailed Assumptions'!$C$66:$C$72,0),2)+1</f>
        <v>1.0037499999999999</v>
      </c>
      <c r="AA26" s="49">
        <f>(LARGE(AA$19:AA$24,$B26)-1)*INDEX('Detailed Assumptions'!$C$66:$E$72,MATCH('Assumption calculations'!$B26,'Detailed Assumptions'!$C$66:$C$72,0),2)+1</f>
        <v>1.0075000000000001</v>
      </c>
      <c r="AB26" s="49">
        <f>(LARGE(AB$19:AB$24,$B26)-1)*INDEX('Detailed Assumptions'!$C$66:$E$72,MATCH('Assumption calculations'!$B26,'Detailed Assumptions'!$C$66:$C$72,0),2)+1</f>
        <v>1.0150000000000001</v>
      </c>
      <c r="AC26" s="49">
        <f>(LARGE(AC$19:AC$24,$B26)-1)*INDEX('Detailed Assumptions'!$C$66:$E$72,MATCH('Assumption calculations'!$B26,'Detailed Assumptions'!$C$66:$C$72,0),2)+1</f>
        <v>1</v>
      </c>
      <c r="AD26" s="49">
        <f>(LARGE(AD$19:AD$24,$B26)-1)*INDEX('Detailed Assumptions'!$C$66:$E$72,MATCH('Assumption calculations'!$B26,'Detailed Assumptions'!$C$66:$C$72,0),2)+1</f>
        <v>1</v>
      </c>
      <c r="AE26" s="49">
        <f>(LARGE(AE$19:AE$24,$B26)-1)*INDEX('Detailed Assumptions'!$C$66:$E$72,MATCH('Assumption calculations'!$B26,'Detailed Assumptions'!$C$66:$C$72,0),2)+1</f>
        <v>1.0037499999999999</v>
      </c>
      <c r="AF26" s="49">
        <f>(LARGE(AF$19:AF$24,$B26)-1)*INDEX('Detailed Assumptions'!$C$66:$E$72,MATCH('Assumption calculations'!$B26,'Detailed Assumptions'!$C$66:$C$72,0),2)+1</f>
        <v>1.0150000000000001</v>
      </c>
      <c r="AG26" s="49">
        <f>(LARGE(AG$19:AG$24,$B26)-1)*INDEX('Detailed Assumptions'!$C$66:$E$72,MATCH('Assumption calculations'!$B26,'Detailed Assumptions'!$C$66:$C$72,0),2)+1</f>
        <v>1.0187499999999998</v>
      </c>
    </row>
    <row r="27" spans="1:33" s="1" customFormat="1">
      <c r="B27" s="1">
        <v>3</v>
      </c>
      <c r="C27" s="103" t="s">
        <v>112</v>
      </c>
      <c r="D27" s="49">
        <f>(LARGE(D$19:D$24,$B27)-1)*INDEX('Detailed Assumptions'!$C$66:$E$72,MATCH('Assumption calculations'!$B27,'Detailed Assumptions'!$C$66:$C$72,0),2)+1</f>
        <v>1</v>
      </c>
      <c r="E27" s="49">
        <f>(LARGE(E$19:E$24,$B27)-1)*INDEX('Detailed Assumptions'!$C$66:$E$72,MATCH('Assumption calculations'!$B27,'Detailed Assumptions'!$C$66:$C$72,0),2)+1</f>
        <v>1</v>
      </c>
      <c r="F27" s="49">
        <f>(LARGE(F$19:F$24,$B27)-1)*INDEX('Detailed Assumptions'!$C$66:$E$72,MATCH('Assumption calculations'!$B27,'Detailed Assumptions'!$C$66:$C$72,0),2)+1</f>
        <v>1</v>
      </c>
      <c r="G27" s="49">
        <f>(LARGE(G$19:G$24,$B27)-1)*INDEX('Detailed Assumptions'!$C$66:$E$72,MATCH('Assumption calculations'!$B27,'Detailed Assumptions'!$C$66:$C$72,0),2)+1</f>
        <v>1</v>
      </c>
      <c r="H27" s="49">
        <f>(LARGE(H$19:H$24,$B27)-1)*INDEX('Detailed Assumptions'!$C$66:$E$72,MATCH('Assumption calculations'!$B27,'Detailed Assumptions'!$C$66:$C$72,0),2)+1</f>
        <v>1</v>
      </c>
      <c r="I27" s="49">
        <f>(LARGE(I$19:I$24,$B27)-1)*INDEX('Detailed Assumptions'!$C$66:$E$72,MATCH('Assumption calculations'!$B27,'Detailed Assumptions'!$C$66:$C$72,0),2)+1</f>
        <v>1</v>
      </c>
      <c r="J27" s="49">
        <f>(LARGE(J$19:J$24,$B27)-1)*INDEX('Detailed Assumptions'!$C$66:$E$72,MATCH('Assumption calculations'!$B27,'Detailed Assumptions'!$C$66:$C$72,0),2)+1</f>
        <v>1</v>
      </c>
      <c r="K27" s="49">
        <f>(LARGE(K$19:K$24,$B27)-1)*INDEX('Detailed Assumptions'!$C$66:$E$72,MATCH('Assumption calculations'!$B27,'Detailed Assumptions'!$C$66:$C$72,0),2)+1</f>
        <v>1</v>
      </c>
      <c r="L27" s="49">
        <f>(LARGE(L$19:L$24,$B27)-1)*INDEX('Detailed Assumptions'!$C$66:$E$72,MATCH('Assumption calculations'!$B27,'Detailed Assumptions'!$C$66:$C$72,0),2)+1</f>
        <v>1.0024999999999999</v>
      </c>
      <c r="M27" s="49">
        <f>(LARGE(M$19:M$24,$B27)-1)*INDEX('Detailed Assumptions'!$C$66:$E$72,MATCH('Assumption calculations'!$B27,'Detailed Assumptions'!$C$66:$C$72,0),2)+1</f>
        <v>1.01</v>
      </c>
      <c r="N27" s="49">
        <f>(LARGE(N$19:N$24,$B27)-1)*INDEX('Detailed Assumptions'!$C$66:$E$72,MATCH('Assumption calculations'!$B27,'Detailed Assumptions'!$C$66:$C$72,0),2)+1</f>
        <v>1</v>
      </c>
      <c r="O27" s="49">
        <f>(LARGE(O$19:O$24,$B27)-1)*INDEX('Detailed Assumptions'!$C$66:$E$72,MATCH('Assumption calculations'!$B27,'Detailed Assumptions'!$C$66:$C$72,0),2)+1</f>
        <v>1</v>
      </c>
      <c r="P27" s="49">
        <f>(LARGE(P$19:P$24,$B27)-1)*INDEX('Detailed Assumptions'!$C$66:$E$72,MATCH('Assumption calculations'!$B27,'Detailed Assumptions'!$C$66:$C$72,0),2)+1</f>
        <v>1</v>
      </c>
      <c r="Q27" s="49">
        <f>(LARGE(Q$19:Q$24,$B27)-1)*INDEX('Detailed Assumptions'!$C$66:$E$72,MATCH('Assumption calculations'!$B27,'Detailed Assumptions'!$C$66:$C$72,0),2)+1</f>
        <v>1</v>
      </c>
      <c r="R27" s="49">
        <f>(LARGE(R$19:R$24,$B27)-1)*INDEX('Detailed Assumptions'!$C$66:$E$72,MATCH('Assumption calculations'!$B27,'Detailed Assumptions'!$C$66:$C$72,0),2)+1</f>
        <v>1</v>
      </c>
      <c r="S27" s="49">
        <f>(LARGE(S$19:S$24,$B27)-1)*INDEX('Detailed Assumptions'!$C$66:$E$72,MATCH('Assumption calculations'!$B27,'Detailed Assumptions'!$C$66:$C$72,0),2)+1</f>
        <v>1</v>
      </c>
      <c r="T27" s="49">
        <f>(LARGE(T$19:T$24,$B27)-1)*INDEX('Detailed Assumptions'!$C$66:$E$72,MATCH('Assumption calculations'!$B27,'Detailed Assumptions'!$C$66:$C$72,0),2)+1</f>
        <v>1</v>
      </c>
      <c r="U27" s="49">
        <f>(LARGE(U$19:U$24,$B27)-1)*INDEX('Detailed Assumptions'!$C$66:$E$72,MATCH('Assumption calculations'!$B27,'Detailed Assumptions'!$C$66:$C$72,0),2)+1</f>
        <v>1</v>
      </c>
      <c r="V27" s="49">
        <f>(LARGE(V$19:V$24,$B27)-1)*INDEX('Detailed Assumptions'!$C$66:$E$72,MATCH('Assumption calculations'!$B27,'Detailed Assumptions'!$C$66:$C$72,0),2)+1</f>
        <v>1</v>
      </c>
      <c r="W27" s="49">
        <f>(LARGE(W$19:W$24,$B27)-1)*INDEX('Detailed Assumptions'!$C$66:$E$72,MATCH('Assumption calculations'!$B27,'Detailed Assumptions'!$C$66:$C$72,0),2)+1</f>
        <v>1</v>
      </c>
      <c r="X27" s="49">
        <f>(LARGE(X$19:X$24,$B27)-1)*INDEX('Detailed Assumptions'!$C$66:$E$72,MATCH('Assumption calculations'!$B27,'Detailed Assumptions'!$C$66:$C$72,0),2)+1</f>
        <v>1</v>
      </c>
      <c r="Y27" s="49">
        <f>(LARGE(Y$19:Y$24,$B27)-1)*INDEX('Detailed Assumptions'!$C$66:$E$72,MATCH('Assumption calculations'!$B27,'Detailed Assumptions'!$C$66:$C$72,0),2)+1</f>
        <v>1</v>
      </c>
      <c r="Z27" s="49">
        <f>(LARGE(Z$19:Z$24,$B27)-1)*INDEX('Detailed Assumptions'!$C$66:$E$72,MATCH('Assumption calculations'!$B27,'Detailed Assumptions'!$C$66:$C$72,0),2)+1</f>
        <v>1</v>
      </c>
      <c r="AA27" s="49">
        <f>(LARGE(AA$19:AA$24,$B27)-1)*INDEX('Detailed Assumptions'!$C$66:$E$72,MATCH('Assumption calculations'!$B27,'Detailed Assumptions'!$C$66:$C$72,0),2)+1</f>
        <v>1.0024999999999999</v>
      </c>
      <c r="AB27" s="49">
        <f>(LARGE(AB$19:AB$24,$B27)-1)*INDEX('Detailed Assumptions'!$C$66:$E$72,MATCH('Assumption calculations'!$B27,'Detailed Assumptions'!$C$66:$C$72,0),2)+1</f>
        <v>1.0074999999999998</v>
      </c>
      <c r="AC27" s="49">
        <f>(LARGE(AC$19:AC$24,$B27)-1)*INDEX('Detailed Assumptions'!$C$66:$E$72,MATCH('Assumption calculations'!$B27,'Detailed Assumptions'!$C$66:$C$72,0),2)+1</f>
        <v>1</v>
      </c>
      <c r="AD27" s="49">
        <f>(LARGE(AD$19:AD$24,$B27)-1)*INDEX('Detailed Assumptions'!$C$66:$E$72,MATCH('Assumption calculations'!$B27,'Detailed Assumptions'!$C$66:$C$72,0),2)+1</f>
        <v>1</v>
      </c>
      <c r="AE27" s="49">
        <f>(LARGE(AE$19:AE$24,$B27)-1)*INDEX('Detailed Assumptions'!$C$66:$E$72,MATCH('Assumption calculations'!$B27,'Detailed Assumptions'!$C$66:$C$72,0),2)+1</f>
        <v>1.0024999999999999</v>
      </c>
      <c r="AF27" s="49">
        <f>(LARGE(AF$19:AF$24,$B27)-1)*INDEX('Detailed Assumptions'!$C$66:$E$72,MATCH('Assumption calculations'!$B27,'Detailed Assumptions'!$C$66:$C$72,0),2)+1</f>
        <v>1.0049999999999999</v>
      </c>
      <c r="AG27" s="49">
        <f>(LARGE(AG$19:AG$24,$B27)-1)*INDEX('Detailed Assumptions'!$C$66:$E$72,MATCH('Assumption calculations'!$B27,'Detailed Assumptions'!$C$66:$C$72,0),2)+1</f>
        <v>1.01</v>
      </c>
    </row>
    <row r="28" spans="1:33" s="1" customFormat="1">
      <c r="B28" s="1">
        <v>4</v>
      </c>
      <c r="C28" s="103" t="s">
        <v>113</v>
      </c>
      <c r="D28" s="49">
        <f>(LARGE(D$19:D$24,$B28)-1)*INDEX('Detailed Assumptions'!$C$66:$E$72,MATCH('Assumption calculations'!$B28,'Detailed Assumptions'!$C$66:$C$72,0),2)+1</f>
        <v>1</v>
      </c>
      <c r="E28" s="49">
        <f>(LARGE(E$19:E$24,$B28)-1)*INDEX('Detailed Assumptions'!$C$66:$E$72,MATCH('Assumption calculations'!$B28,'Detailed Assumptions'!$C$66:$C$72,0),2)+1</f>
        <v>1</v>
      </c>
      <c r="F28" s="49">
        <f>(LARGE(F$19:F$24,$B28)-1)*INDEX('Detailed Assumptions'!$C$66:$E$72,MATCH('Assumption calculations'!$B28,'Detailed Assumptions'!$C$66:$C$72,0),2)+1</f>
        <v>1</v>
      </c>
      <c r="G28" s="49">
        <f>(LARGE(G$19:G$24,$B28)-1)*INDEX('Detailed Assumptions'!$C$66:$E$72,MATCH('Assumption calculations'!$B28,'Detailed Assumptions'!$C$66:$C$72,0),2)+1</f>
        <v>1</v>
      </c>
      <c r="H28" s="49">
        <f>(LARGE(H$19:H$24,$B28)-1)*INDEX('Detailed Assumptions'!$C$66:$E$72,MATCH('Assumption calculations'!$B28,'Detailed Assumptions'!$C$66:$C$72,0),2)+1</f>
        <v>1</v>
      </c>
      <c r="I28" s="49">
        <f>(LARGE(I$19:I$24,$B28)-1)*INDEX('Detailed Assumptions'!$C$66:$E$72,MATCH('Assumption calculations'!$B28,'Detailed Assumptions'!$C$66:$C$72,0),2)+1</f>
        <v>1</v>
      </c>
      <c r="J28" s="49">
        <f>(LARGE(J$19:J$24,$B28)-1)*INDEX('Detailed Assumptions'!$C$66:$E$72,MATCH('Assumption calculations'!$B28,'Detailed Assumptions'!$C$66:$C$72,0),2)+1</f>
        <v>1</v>
      </c>
      <c r="K28" s="49">
        <f>(LARGE(K$19:K$24,$B28)-1)*INDEX('Detailed Assumptions'!$C$66:$E$72,MATCH('Assumption calculations'!$B28,'Detailed Assumptions'!$C$66:$C$72,0),2)+1</f>
        <v>1</v>
      </c>
      <c r="L28" s="49">
        <f>(LARGE(L$19:L$24,$B28)-1)*INDEX('Detailed Assumptions'!$C$66:$E$72,MATCH('Assumption calculations'!$B28,'Detailed Assumptions'!$C$66:$C$72,0),2)+1</f>
        <v>1</v>
      </c>
      <c r="M28" s="49">
        <f>(LARGE(M$19:M$24,$B28)-1)*INDEX('Detailed Assumptions'!$C$66:$E$72,MATCH('Assumption calculations'!$B28,'Detailed Assumptions'!$C$66:$C$72,0),2)+1</f>
        <v>1</v>
      </c>
      <c r="N28" s="49">
        <f>(LARGE(N$19:N$24,$B28)-1)*INDEX('Detailed Assumptions'!$C$66:$E$72,MATCH('Assumption calculations'!$B28,'Detailed Assumptions'!$C$66:$C$72,0),2)+1</f>
        <v>1</v>
      </c>
      <c r="O28" s="49">
        <f>(LARGE(O$19:O$24,$B28)-1)*INDEX('Detailed Assumptions'!$C$66:$E$72,MATCH('Assumption calculations'!$B28,'Detailed Assumptions'!$C$66:$C$72,0),2)+1</f>
        <v>1</v>
      </c>
      <c r="P28" s="49">
        <f>(LARGE(P$19:P$24,$B28)-1)*INDEX('Detailed Assumptions'!$C$66:$E$72,MATCH('Assumption calculations'!$B28,'Detailed Assumptions'!$C$66:$C$72,0),2)+1</f>
        <v>1</v>
      </c>
      <c r="Q28" s="49">
        <f>(LARGE(Q$19:Q$24,$B28)-1)*INDEX('Detailed Assumptions'!$C$66:$E$72,MATCH('Assumption calculations'!$B28,'Detailed Assumptions'!$C$66:$C$72,0),2)+1</f>
        <v>1</v>
      </c>
      <c r="R28" s="49">
        <f>(LARGE(R$19:R$24,$B28)-1)*INDEX('Detailed Assumptions'!$C$66:$E$72,MATCH('Assumption calculations'!$B28,'Detailed Assumptions'!$C$66:$C$72,0),2)+1</f>
        <v>1</v>
      </c>
      <c r="S28" s="49">
        <f>(LARGE(S$19:S$24,$B28)-1)*INDEX('Detailed Assumptions'!$C$66:$E$72,MATCH('Assumption calculations'!$B28,'Detailed Assumptions'!$C$66:$C$72,0),2)+1</f>
        <v>1</v>
      </c>
      <c r="T28" s="49">
        <f>(LARGE(T$19:T$24,$B28)-1)*INDEX('Detailed Assumptions'!$C$66:$E$72,MATCH('Assumption calculations'!$B28,'Detailed Assumptions'!$C$66:$C$72,0),2)+1</f>
        <v>1</v>
      </c>
      <c r="U28" s="49">
        <f>(LARGE(U$19:U$24,$B28)-1)*INDEX('Detailed Assumptions'!$C$66:$E$72,MATCH('Assumption calculations'!$B28,'Detailed Assumptions'!$C$66:$C$72,0),2)+1</f>
        <v>1</v>
      </c>
      <c r="V28" s="49">
        <f>(LARGE(V$19:V$24,$B28)-1)*INDEX('Detailed Assumptions'!$C$66:$E$72,MATCH('Assumption calculations'!$B28,'Detailed Assumptions'!$C$66:$C$72,0),2)+1</f>
        <v>1</v>
      </c>
      <c r="W28" s="49">
        <f>(LARGE(W$19:W$24,$B28)-1)*INDEX('Detailed Assumptions'!$C$66:$E$72,MATCH('Assumption calculations'!$B28,'Detailed Assumptions'!$C$66:$C$72,0),2)+1</f>
        <v>1</v>
      </c>
      <c r="X28" s="49">
        <f>(LARGE(X$19:X$24,$B28)-1)*INDEX('Detailed Assumptions'!$C$66:$E$72,MATCH('Assumption calculations'!$B28,'Detailed Assumptions'!$C$66:$C$72,0),2)+1</f>
        <v>1</v>
      </c>
      <c r="Y28" s="49">
        <f>(LARGE(Y$19:Y$24,$B28)-1)*INDEX('Detailed Assumptions'!$C$66:$E$72,MATCH('Assumption calculations'!$B28,'Detailed Assumptions'!$C$66:$C$72,0),2)+1</f>
        <v>1</v>
      </c>
      <c r="Z28" s="49">
        <f>(LARGE(Z$19:Z$24,$B28)-1)*INDEX('Detailed Assumptions'!$C$66:$E$72,MATCH('Assumption calculations'!$B28,'Detailed Assumptions'!$C$66:$C$72,0),2)+1</f>
        <v>1</v>
      </c>
      <c r="AA28" s="49">
        <f>(LARGE(AA$19:AA$24,$B28)-1)*INDEX('Detailed Assumptions'!$C$66:$E$72,MATCH('Assumption calculations'!$B28,'Detailed Assumptions'!$C$66:$C$72,0),2)+1</f>
        <v>1</v>
      </c>
      <c r="AB28" s="49">
        <f>(LARGE(AB$19:AB$24,$B28)-1)*INDEX('Detailed Assumptions'!$C$66:$E$72,MATCH('Assumption calculations'!$B28,'Detailed Assumptions'!$C$66:$C$72,0),2)+1</f>
        <v>1</v>
      </c>
      <c r="AC28" s="49">
        <f>(LARGE(AC$19:AC$24,$B28)-1)*INDEX('Detailed Assumptions'!$C$66:$E$72,MATCH('Assumption calculations'!$B28,'Detailed Assumptions'!$C$66:$C$72,0),2)+1</f>
        <v>1</v>
      </c>
      <c r="AD28" s="49">
        <f>(LARGE(AD$19:AD$24,$B28)-1)*INDEX('Detailed Assumptions'!$C$66:$E$72,MATCH('Assumption calculations'!$B28,'Detailed Assumptions'!$C$66:$C$72,0),2)+1</f>
        <v>1</v>
      </c>
      <c r="AE28" s="49">
        <f>(LARGE(AE$19:AE$24,$B28)-1)*INDEX('Detailed Assumptions'!$C$66:$E$72,MATCH('Assumption calculations'!$B28,'Detailed Assumptions'!$C$66:$C$72,0),2)+1</f>
        <v>1</v>
      </c>
      <c r="AF28" s="49">
        <f>(LARGE(AF$19:AF$24,$B28)-1)*INDEX('Detailed Assumptions'!$C$66:$E$72,MATCH('Assumption calculations'!$B28,'Detailed Assumptions'!$C$66:$C$72,0),2)+1</f>
        <v>1.0004999999999999</v>
      </c>
      <c r="AG28" s="49">
        <f>(LARGE(AG$19:AG$24,$B28)-1)*INDEX('Detailed Assumptions'!$C$66:$E$72,MATCH('Assumption calculations'!$B28,'Detailed Assumptions'!$C$66:$C$72,0),2)+1</f>
        <v>1.0015000000000001</v>
      </c>
    </row>
    <row r="29" spans="1:33" s="1" customFormat="1">
      <c r="B29" s="1">
        <v>5</v>
      </c>
      <c r="C29" s="103" t="s">
        <v>114</v>
      </c>
      <c r="D29" s="49">
        <f>(LARGE(D$19:D$24,$B29)-1)*INDEX('Detailed Assumptions'!$C$66:$E$72,MATCH('Assumption calculations'!$B29,'Detailed Assumptions'!$C$66:$C$72,0),2)+1</f>
        <v>1</v>
      </c>
      <c r="E29" s="49">
        <f>(LARGE(E$19:E$24,$B29)-1)*INDEX('Detailed Assumptions'!$C$66:$E$72,MATCH('Assumption calculations'!$B29,'Detailed Assumptions'!$C$66:$C$72,0),2)+1</f>
        <v>1</v>
      </c>
      <c r="F29" s="49">
        <f>(LARGE(F$19:F$24,$B29)-1)*INDEX('Detailed Assumptions'!$C$66:$E$72,MATCH('Assumption calculations'!$B29,'Detailed Assumptions'!$C$66:$C$72,0),2)+1</f>
        <v>1</v>
      </c>
      <c r="G29" s="49">
        <f>(LARGE(G$19:G$24,$B29)-1)*INDEX('Detailed Assumptions'!$C$66:$E$72,MATCH('Assumption calculations'!$B29,'Detailed Assumptions'!$C$66:$C$72,0),2)+1</f>
        <v>1</v>
      </c>
      <c r="H29" s="49">
        <f>(LARGE(H$19:H$24,$B29)-1)*INDEX('Detailed Assumptions'!$C$66:$E$72,MATCH('Assumption calculations'!$B29,'Detailed Assumptions'!$C$66:$C$72,0),2)+1</f>
        <v>1</v>
      </c>
      <c r="I29" s="49">
        <f>(LARGE(I$19:I$24,$B29)-1)*INDEX('Detailed Assumptions'!$C$66:$E$72,MATCH('Assumption calculations'!$B29,'Detailed Assumptions'!$C$66:$C$72,0),2)+1</f>
        <v>1</v>
      </c>
      <c r="J29" s="49">
        <f>(LARGE(J$19:J$24,$B29)-1)*INDEX('Detailed Assumptions'!$C$66:$E$72,MATCH('Assumption calculations'!$B29,'Detailed Assumptions'!$C$66:$C$72,0),2)+1</f>
        <v>1</v>
      </c>
      <c r="K29" s="49">
        <f>(LARGE(K$19:K$24,$B29)-1)*INDEX('Detailed Assumptions'!$C$66:$E$72,MATCH('Assumption calculations'!$B29,'Detailed Assumptions'!$C$66:$C$72,0),2)+1</f>
        <v>1</v>
      </c>
      <c r="L29" s="49">
        <f>(LARGE(L$19:L$24,$B29)-1)*INDEX('Detailed Assumptions'!$C$66:$E$72,MATCH('Assumption calculations'!$B29,'Detailed Assumptions'!$C$66:$C$72,0),2)+1</f>
        <v>1</v>
      </c>
      <c r="M29" s="49">
        <f>(LARGE(M$19:M$24,$B29)-1)*INDEX('Detailed Assumptions'!$C$66:$E$72,MATCH('Assumption calculations'!$B29,'Detailed Assumptions'!$C$66:$C$72,0),2)+1</f>
        <v>1</v>
      </c>
      <c r="N29" s="49">
        <f>(LARGE(N$19:N$24,$B29)-1)*INDEX('Detailed Assumptions'!$C$66:$E$72,MATCH('Assumption calculations'!$B29,'Detailed Assumptions'!$C$66:$C$72,0),2)+1</f>
        <v>1</v>
      </c>
      <c r="O29" s="49">
        <f>(LARGE(O$19:O$24,$B29)-1)*INDEX('Detailed Assumptions'!$C$66:$E$72,MATCH('Assumption calculations'!$B29,'Detailed Assumptions'!$C$66:$C$72,0),2)+1</f>
        <v>1</v>
      </c>
      <c r="P29" s="49">
        <f>(LARGE(P$19:P$24,$B29)-1)*INDEX('Detailed Assumptions'!$C$66:$E$72,MATCH('Assumption calculations'!$B29,'Detailed Assumptions'!$C$66:$C$72,0),2)+1</f>
        <v>1</v>
      </c>
      <c r="Q29" s="49">
        <f>(LARGE(Q$19:Q$24,$B29)-1)*INDEX('Detailed Assumptions'!$C$66:$E$72,MATCH('Assumption calculations'!$B29,'Detailed Assumptions'!$C$66:$C$72,0),2)+1</f>
        <v>1</v>
      </c>
      <c r="R29" s="49">
        <f>(LARGE(R$19:R$24,$B29)-1)*INDEX('Detailed Assumptions'!$C$66:$E$72,MATCH('Assumption calculations'!$B29,'Detailed Assumptions'!$C$66:$C$72,0),2)+1</f>
        <v>1</v>
      </c>
      <c r="S29" s="49">
        <f>(LARGE(S$19:S$24,$B29)-1)*INDEX('Detailed Assumptions'!$C$66:$E$72,MATCH('Assumption calculations'!$B29,'Detailed Assumptions'!$C$66:$C$72,0),2)+1</f>
        <v>1</v>
      </c>
      <c r="T29" s="49">
        <f>(LARGE(T$19:T$24,$B29)-1)*INDEX('Detailed Assumptions'!$C$66:$E$72,MATCH('Assumption calculations'!$B29,'Detailed Assumptions'!$C$66:$C$72,0),2)+1</f>
        <v>1</v>
      </c>
      <c r="U29" s="49">
        <f>(LARGE(U$19:U$24,$B29)-1)*INDEX('Detailed Assumptions'!$C$66:$E$72,MATCH('Assumption calculations'!$B29,'Detailed Assumptions'!$C$66:$C$72,0),2)+1</f>
        <v>1</v>
      </c>
      <c r="V29" s="49">
        <f>(LARGE(V$19:V$24,$B29)-1)*INDEX('Detailed Assumptions'!$C$66:$E$72,MATCH('Assumption calculations'!$B29,'Detailed Assumptions'!$C$66:$C$72,0),2)+1</f>
        <v>1</v>
      </c>
      <c r="W29" s="49">
        <f>(LARGE(W$19:W$24,$B29)-1)*INDEX('Detailed Assumptions'!$C$66:$E$72,MATCH('Assumption calculations'!$B29,'Detailed Assumptions'!$C$66:$C$72,0),2)+1</f>
        <v>1</v>
      </c>
      <c r="X29" s="49">
        <f>(LARGE(X$19:X$24,$B29)-1)*INDEX('Detailed Assumptions'!$C$66:$E$72,MATCH('Assumption calculations'!$B29,'Detailed Assumptions'!$C$66:$C$72,0),2)+1</f>
        <v>1</v>
      </c>
      <c r="Y29" s="49">
        <f>(LARGE(Y$19:Y$24,$B29)-1)*INDEX('Detailed Assumptions'!$C$66:$E$72,MATCH('Assumption calculations'!$B29,'Detailed Assumptions'!$C$66:$C$72,0),2)+1</f>
        <v>1</v>
      </c>
      <c r="Z29" s="49">
        <f>(LARGE(Z$19:Z$24,$B29)-1)*INDEX('Detailed Assumptions'!$C$66:$E$72,MATCH('Assumption calculations'!$B29,'Detailed Assumptions'!$C$66:$C$72,0),2)+1</f>
        <v>1</v>
      </c>
      <c r="AA29" s="49">
        <f>(LARGE(AA$19:AA$24,$B29)-1)*INDEX('Detailed Assumptions'!$C$66:$E$72,MATCH('Assumption calculations'!$B29,'Detailed Assumptions'!$C$66:$C$72,0),2)+1</f>
        <v>1</v>
      </c>
      <c r="AB29" s="49">
        <f>(LARGE(AB$19:AB$24,$B29)-1)*INDEX('Detailed Assumptions'!$C$66:$E$72,MATCH('Assumption calculations'!$B29,'Detailed Assumptions'!$C$66:$C$72,0),2)+1</f>
        <v>1</v>
      </c>
      <c r="AC29" s="49">
        <f>(LARGE(AC$19:AC$24,$B29)-1)*INDEX('Detailed Assumptions'!$C$66:$E$72,MATCH('Assumption calculations'!$B29,'Detailed Assumptions'!$C$66:$C$72,0),2)+1</f>
        <v>1</v>
      </c>
      <c r="AD29" s="49">
        <f>(LARGE(AD$19:AD$24,$B29)-1)*INDEX('Detailed Assumptions'!$C$66:$E$72,MATCH('Assumption calculations'!$B29,'Detailed Assumptions'!$C$66:$C$72,0),2)+1</f>
        <v>1</v>
      </c>
      <c r="AE29" s="49">
        <f>(LARGE(AE$19:AE$24,$B29)-1)*INDEX('Detailed Assumptions'!$C$66:$E$72,MATCH('Assumption calculations'!$B29,'Detailed Assumptions'!$C$66:$C$72,0),2)+1</f>
        <v>1</v>
      </c>
      <c r="AF29" s="49">
        <f>(LARGE(AF$19:AF$24,$B29)-1)*INDEX('Detailed Assumptions'!$C$66:$E$72,MATCH('Assumption calculations'!$B29,'Detailed Assumptions'!$C$66:$C$72,0),2)+1</f>
        <v>1</v>
      </c>
      <c r="AG29" s="49">
        <f>(LARGE(AG$19:AG$24,$B29)-1)*INDEX('Detailed Assumptions'!$C$66:$E$72,MATCH('Assumption calculations'!$B29,'Detailed Assumptions'!$C$66:$C$72,0),2)+1</f>
        <v>1</v>
      </c>
    </row>
    <row r="30" spans="1:33" s="1" customFormat="1" ht="13" thickBot="1">
      <c r="B30" s="1">
        <v>6</v>
      </c>
      <c r="C30" s="105" t="s">
        <v>115</v>
      </c>
      <c r="D30" s="92">
        <f>(LARGE(D$19:D$24,$B30)-1)*INDEX('Detailed Assumptions'!$C$66:$E$72,MATCH('Assumption calculations'!$B30,'Detailed Assumptions'!$C$66:$C$72,0),2)+1</f>
        <v>1</v>
      </c>
      <c r="E30" s="92">
        <f>(LARGE(E$19:E$24,$B30)-1)*INDEX('Detailed Assumptions'!$C$66:$E$72,MATCH('Assumption calculations'!$B30,'Detailed Assumptions'!$C$66:$C$72,0),2)+1</f>
        <v>1</v>
      </c>
      <c r="F30" s="92">
        <f>(LARGE(F$19:F$24,$B30)-1)*INDEX('Detailed Assumptions'!$C$66:$E$72,MATCH('Assumption calculations'!$B30,'Detailed Assumptions'!$C$66:$C$72,0),2)+1</f>
        <v>1</v>
      </c>
      <c r="G30" s="92">
        <f>(LARGE(G$19:G$24,$B30)-1)*INDEX('Detailed Assumptions'!$C$66:$E$72,MATCH('Assumption calculations'!$B30,'Detailed Assumptions'!$C$66:$C$72,0),2)+1</f>
        <v>1</v>
      </c>
      <c r="H30" s="92">
        <f>(LARGE(H$19:H$24,$B30)-1)*INDEX('Detailed Assumptions'!$C$66:$E$72,MATCH('Assumption calculations'!$B30,'Detailed Assumptions'!$C$66:$C$72,0),2)+1</f>
        <v>1</v>
      </c>
      <c r="I30" s="92">
        <f>(LARGE(I$19:I$24,$B30)-1)*INDEX('Detailed Assumptions'!$C$66:$E$72,MATCH('Assumption calculations'!$B30,'Detailed Assumptions'!$C$66:$C$72,0),2)+1</f>
        <v>1</v>
      </c>
      <c r="J30" s="92">
        <f>(LARGE(J$19:J$24,$B30)-1)*INDEX('Detailed Assumptions'!$C$66:$E$72,MATCH('Assumption calculations'!$B30,'Detailed Assumptions'!$C$66:$C$72,0),2)+1</f>
        <v>1</v>
      </c>
      <c r="K30" s="92">
        <f>(LARGE(K$19:K$24,$B30)-1)*INDEX('Detailed Assumptions'!$C$66:$E$72,MATCH('Assumption calculations'!$B30,'Detailed Assumptions'!$C$66:$C$72,0),2)+1</f>
        <v>1</v>
      </c>
      <c r="L30" s="92">
        <f>(LARGE(L$19:L$24,$B30)-1)*INDEX('Detailed Assumptions'!$C$66:$E$72,MATCH('Assumption calculations'!$B30,'Detailed Assumptions'!$C$66:$C$72,0),2)+1</f>
        <v>1</v>
      </c>
      <c r="M30" s="92">
        <f>(LARGE(M$19:M$24,$B30)-1)*INDEX('Detailed Assumptions'!$C$66:$E$72,MATCH('Assumption calculations'!$B30,'Detailed Assumptions'!$C$66:$C$72,0),2)+1</f>
        <v>1</v>
      </c>
      <c r="N30" s="92">
        <f>(LARGE(N$19:N$24,$B30)-1)*INDEX('Detailed Assumptions'!$C$66:$E$72,MATCH('Assumption calculations'!$B30,'Detailed Assumptions'!$C$66:$C$72,0),2)+1</f>
        <v>1</v>
      </c>
      <c r="O30" s="92">
        <f>(LARGE(O$19:O$24,$B30)-1)*INDEX('Detailed Assumptions'!$C$66:$E$72,MATCH('Assumption calculations'!$B30,'Detailed Assumptions'!$C$66:$C$72,0),2)+1</f>
        <v>1</v>
      </c>
      <c r="P30" s="92">
        <f>(LARGE(P$19:P$24,$B30)-1)*INDEX('Detailed Assumptions'!$C$66:$E$72,MATCH('Assumption calculations'!$B30,'Detailed Assumptions'!$C$66:$C$72,0),2)+1</f>
        <v>1</v>
      </c>
      <c r="Q30" s="92">
        <f>(LARGE(Q$19:Q$24,$B30)-1)*INDEX('Detailed Assumptions'!$C$66:$E$72,MATCH('Assumption calculations'!$B30,'Detailed Assumptions'!$C$66:$C$72,0),2)+1</f>
        <v>1</v>
      </c>
      <c r="R30" s="92">
        <f>(LARGE(R$19:R$24,$B30)-1)*INDEX('Detailed Assumptions'!$C$66:$E$72,MATCH('Assumption calculations'!$B30,'Detailed Assumptions'!$C$66:$C$72,0),2)+1</f>
        <v>1</v>
      </c>
      <c r="S30" s="92">
        <f>(LARGE(S$19:S$24,$B30)-1)*INDEX('Detailed Assumptions'!$C$66:$E$72,MATCH('Assumption calculations'!$B30,'Detailed Assumptions'!$C$66:$C$72,0),2)+1</f>
        <v>1</v>
      </c>
      <c r="T30" s="92">
        <f>(LARGE(T$19:T$24,$B30)-1)*INDEX('Detailed Assumptions'!$C$66:$E$72,MATCH('Assumption calculations'!$B30,'Detailed Assumptions'!$C$66:$C$72,0),2)+1</f>
        <v>1</v>
      </c>
      <c r="U30" s="92">
        <f>(LARGE(U$19:U$24,$B30)-1)*INDEX('Detailed Assumptions'!$C$66:$E$72,MATCH('Assumption calculations'!$B30,'Detailed Assumptions'!$C$66:$C$72,0),2)+1</f>
        <v>1</v>
      </c>
      <c r="V30" s="92">
        <f>(LARGE(V$19:V$24,$B30)-1)*INDEX('Detailed Assumptions'!$C$66:$E$72,MATCH('Assumption calculations'!$B30,'Detailed Assumptions'!$C$66:$C$72,0),2)+1</f>
        <v>1</v>
      </c>
      <c r="W30" s="92">
        <f>(LARGE(W$19:W$24,$B30)-1)*INDEX('Detailed Assumptions'!$C$66:$E$72,MATCH('Assumption calculations'!$B30,'Detailed Assumptions'!$C$66:$C$72,0),2)+1</f>
        <v>1</v>
      </c>
      <c r="X30" s="92">
        <f>(LARGE(X$19:X$24,$B30)-1)*INDEX('Detailed Assumptions'!$C$66:$E$72,MATCH('Assumption calculations'!$B30,'Detailed Assumptions'!$C$66:$C$72,0),2)+1</f>
        <v>1</v>
      </c>
      <c r="Y30" s="92">
        <f>(LARGE(Y$19:Y$24,$B30)-1)*INDEX('Detailed Assumptions'!$C$66:$E$72,MATCH('Assumption calculations'!$B30,'Detailed Assumptions'!$C$66:$C$72,0),2)+1</f>
        <v>1</v>
      </c>
      <c r="Z30" s="92">
        <f>(LARGE(Z$19:Z$24,$B30)-1)*INDEX('Detailed Assumptions'!$C$66:$E$72,MATCH('Assumption calculations'!$B30,'Detailed Assumptions'!$C$66:$C$72,0),2)+1</f>
        <v>1</v>
      </c>
      <c r="AA30" s="92">
        <f>(LARGE(AA$19:AA$24,$B30)-1)*INDEX('Detailed Assumptions'!$C$66:$E$72,MATCH('Assumption calculations'!$B30,'Detailed Assumptions'!$C$66:$C$72,0),2)+1</f>
        <v>1</v>
      </c>
      <c r="AB30" s="92">
        <f>(LARGE(AB$19:AB$24,$B30)-1)*INDEX('Detailed Assumptions'!$C$66:$E$72,MATCH('Assumption calculations'!$B30,'Detailed Assumptions'!$C$66:$C$72,0),2)+1</f>
        <v>1</v>
      </c>
      <c r="AC30" s="92">
        <f>(LARGE(AC$19:AC$24,$B30)-1)*INDEX('Detailed Assumptions'!$C$66:$E$72,MATCH('Assumption calculations'!$B30,'Detailed Assumptions'!$C$66:$C$72,0),2)+1</f>
        <v>1</v>
      </c>
      <c r="AD30" s="92">
        <f>(LARGE(AD$19:AD$24,$B30)-1)*INDEX('Detailed Assumptions'!$C$66:$E$72,MATCH('Assumption calculations'!$B30,'Detailed Assumptions'!$C$66:$C$72,0),2)+1</f>
        <v>1</v>
      </c>
      <c r="AE30" s="92">
        <f>(LARGE(AE$19:AE$24,$B30)-1)*INDEX('Detailed Assumptions'!$C$66:$E$72,MATCH('Assumption calculations'!$B30,'Detailed Assumptions'!$C$66:$C$72,0),2)+1</f>
        <v>1</v>
      </c>
      <c r="AF30" s="92">
        <f>(LARGE(AF$19:AF$24,$B30)-1)*INDEX('Detailed Assumptions'!$C$66:$E$72,MATCH('Assumption calculations'!$B30,'Detailed Assumptions'!$C$66:$C$72,0),2)+1</f>
        <v>1</v>
      </c>
      <c r="AG30" s="92">
        <f>(LARGE(AG$19:AG$24,$B30)-1)*INDEX('Detailed Assumptions'!$C$66:$E$72,MATCH('Assumption calculations'!$B30,'Detailed Assumptions'!$C$66:$C$72,0),2)+1</f>
        <v>1</v>
      </c>
    </row>
    <row r="31" spans="1:33" s="1" customFormat="1" ht="13" thickTop="1">
      <c r="C31" s="71" t="s">
        <v>90</v>
      </c>
      <c r="D31" s="93">
        <f>PRODUCT(D25:D30)</f>
        <v>1.05</v>
      </c>
      <c r="E31" s="93">
        <f t="shared" ref="E31:AG31" si="3">PRODUCT(E25:E30)</f>
        <v>1.1000000000000001</v>
      </c>
      <c r="F31" s="93">
        <f t="shared" si="3"/>
        <v>1.1499999999999999</v>
      </c>
      <c r="G31" s="93">
        <f t="shared" si="3"/>
        <v>1.2</v>
      </c>
      <c r="H31" s="93">
        <f t="shared" si="3"/>
        <v>1.25</v>
      </c>
      <c r="I31" s="93">
        <f t="shared" si="3"/>
        <v>1</v>
      </c>
      <c r="J31" s="93">
        <f t="shared" si="3"/>
        <v>1</v>
      </c>
      <c r="K31" s="93">
        <f t="shared" si="3"/>
        <v>1.0162968749999999</v>
      </c>
      <c r="L31" s="93">
        <f t="shared" si="3"/>
        <v>1.0429759375000001</v>
      </c>
      <c r="M31" s="93">
        <f t="shared" si="3"/>
        <v>1.0903265625000003</v>
      </c>
      <c r="N31" s="93">
        <f t="shared" si="3"/>
        <v>1</v>
      </c>
      <c r="O31" s="93">
        <f t="shared" si="3"/>
        <v>1</v>
      </c>
      <c r="P31" s="93">
        <f t="shared" si="3"/>
        <v>1.0249999999999999</v>
      </c>
      <c r="Q31" s="93">
        <f t="shared" si="3"/>
        <v>1.0893750000000002</v>
      </c>
      <c r="R31" s="93">
        <f t="shared" si="3"/>
        <v>1.2674999999999998</v>
      </c>
      <c r="S31" s="93">
        <f t="shared" si="3"/>
        <v>1</v>
      </c>
      <c r="T31" s="93">
        <f t="shared" si="3"/>
        <v>1</v>
      </c>
      <c r="U31" s="93">
        <f t="shared" si="3"/>
        <v>1.0024999999999999</v>
      </c>
      <c r="V31" s="93">
        <f t="shared" si="3"/>
        <v>1.0049999999999999</v>
      </c>
      <c r="W31" s="93">
        <f t="shared" si="3"/>
        <v>1.0075000000000001</v>
      </c>
      <c r="X31" s="93">
        <f t="shared" si="3"/>
        <v>1</v>
      </c>
      <c r="Y31" s="93">
        <f t="shared" si="3"/>
        <v>1</v>
      </c>
      <c r="Z31" s="93">
        <f t="shared" si="3"/>
        <v>1.0087687499999998</v>
      </c>
      <c r="AA31" s="93">
        <f t="shared" si="3"/>
        <v>1.0302191250000001</v>
      </c>
      <c r="AB31" s="93">
        <f t="shared" si="3"/>
        <v>1.073743125</v>
      </c>
      <c r="AC31" s="93">
        <f t="shared" si="3"/>
        <v>1.0049999999999999</v>
      </c>
      <c r="AD31" s="93">
        <f t="shared" si="3"/>
        <v>1.01</v>
      </c>
      <c r="AE31" s="93">
        <f t="shared" si="3"/>
        <v>1.021353265625</v>
      </c>
      <c r="AF31" s="93">
        <f t="shared" si="3"/>
        <v>1.0409967382500001</v>
      </c>
      <c r="AG31" s="93">
        <f t="shared" si="3"/>
        <v>1.0820049515625001</v>
      </c>
    </row>
    <row r="32" spans="1:33" s="43" customFormat="1">
      <c r="C32" s="100" t="s">
        <v>98</v>
      </c>
      <c r="D32" s="101">
        <f>D18*D31</f>
        <v>0.26250000000000001</v>
      </c>
      <c r="E32" s="101">
        <f t="shared" ref="E32:AG32" si="4">E18*E31</f>
        <v>0.27500000000000002</v>
      </c>
      <c r="F32" s="101">
        <f t="shared" si="4"/>
        <v>0.28749999999999998</v>
      </c>
      <c r="G32" s="101">
        <f t="shared" si="4"/>
        <v>0.3</v>
      </c>
      <c r="H32" s="101">
        <f t="shared" si="4"/>
        <v>0.3125</v>
      </c>
      <c r="I32" s="101">
        <f t="shared" si="4"/>
        <v>0.5161290322580645</v>
      </c>
      <c r="J32" s="101">
        <f t="shared" si="4"/>
        <v>0.5161290322580645</v>
      </c>
      <c r="K32" s="101">
        <f t="shared" si="4"/>
        <v>0.52454032258064509</v>
      </c>
      <c r="L32" s="101">
        <f t="shared" si="4"/>
        <v>0.53831016129032261</v>
      </c>
      <c r="M32" s="101">
        <f t="shared" si="4"/>
        <v>0.56274919354838726</v>
      </c>
      <c r="N32" s="101">
        <f t="shared" si="4"/>
        <v>0.92620009620009625</v>
      </c>
      <c r="O32" s="101">
        <f t="shared" si="4"/>
        <v>0.92641873278236919</v>
      </c>
      <c r="P32" s="101">
        <f t="shared" si="4"/>
        <v>0.94819575513441456</v>
      </c>
      <c r="Q32" s="101">
        <f t="shared" si="4"/>
        <v>1.0069367567598038</v>
      </c>
      <c r="R32" s="101">
        <f t="shared" si="4"/>
        <v>1.1695964035841273</v>
      </c>
      <c r="S32" s="101">
        <f t="shared" si="4"/>
        <v>0.99589731871601661</v>
      </c>
      <c r="T32" s="101">
        <f t="shared" si="4"/>
        <v>0.99613428885783106</v>
      </c>
      <c r="U32" s="101">
        <f t="shared" si="4"/>
        <v>0.99728662712809568</v>
      </c>
      <c r="V32" s="101">
        <f t="shared" si="4"/>
        <v>0.99929681862866548</v>
      </c>
      <c r="W32" s="101">
        <f t="shared" si="4"/>
        <v>1.0002041925925116</v>
      </c>
      <c r="X32" s="101">
        <f t="shared" si="4"/>
        <v>0.92</v>
      </c>
      <c r="Y32" s="101">
        <f t="shared" si="4"/>
        <v>0.92</v>
      </c>
      <c r="Z32" s="101">
        <f t="shared" si="4"/>
        <v>0.92806724999999979</v>
      </c>
      <c r="AA32" s="101">
        <f t="shared" si="4"/>
        <v>0.94780159500000016</v>
      </c>
      <c r="AB32" s="101">
        <f t="shared" si="4"/>
        <v>0.98784367500000003</v>
      </c>
      <c r="AC32" s="101">
        <f t="shared" si="4"/>
        <v>0.87391304347826071</v>
      </c>
      <c r="AD32" s="101">
        <f t="shared" si="4"/>
        <v>0.87826086956521743</v>
      </c>
      <c r="AE32" s="101">
        <f t="shared" si="4"/>
        <v>0.88813327445652168</v>
      </c>
      <c r="AF32" s="101">
        <f t="shared" si="4"/>
        <v>0.90521455500000003</v>
      </c>
      <c r="AG32" s="101">
        <f t="shared" si="4"/>
        <v>0.94087387092391306</v>
      </c>
    </row>
    <row r="33" spans="2:33" s="1" customFormat="1" ht="13" thickBot="1">
      <c r="C33" s="95" t="s">
        <v>85</v>
      </c>
      <c r="D33" s="96">
        <f>INDEX('Detailed Assumptions'!$C$34:$I$41,MATCH('Assumption calculations'!$C33,'Detailed Assumptions'!$C$34:$C$41,0),MATCH('Assumption calculations'!D$14,'Detailed Assumptions'!$C$34:$I$34,0))</f>
        <v>1</v>
      </c>
      <c r="E33" s="96">
        <f>INDEX('Detailed Assumptions'!$C$34:$I$41,MATCH('Assumption calculations'!$C33,'Detailed Assumptions'!$C$34:$C$41,0),MATCH('Assumption calculations'!E$14,'Detailed Assumptions'!$C$34:$I$34,0))</f>
        <v>1</v>
      </c>
      <c r="F33" s="96">
        <f>INDEX('Detailed Assumptions'!$C$34:$I$41,MATCH('Assumption calculations'!$C33,'Detailed Assumptions'!$C$34:$C$41,0),MATCH('Assumption calculations'!F$14,'Detailed Assumptions'!$C$34:$I$34,0))</f>
        <v>1</v>
      </c>
      <c r="G33" s="96">
        <f>INDEX('Detailed Assumptions'!$C$34:$I$41,MATCH('Assumption calculations'!$C33,'Detailed Assumptions'!$C$34:$C$41,0),MATCH('Assumption calculations'!G$14,'Detailed Assumptions'!$C$34:$I$34,0))</f>
        <v>1</v>
      </c>
      <c r="H33" s="96">
        <f>INDEX('Detailed Assumptions'!$C$34:$I$41,MATCH('Assumption calculations'!$C33,'Detailed Assumptions'!$C$34:$C$41,0),MATCH('Assumption calculations'!H$14,'Detailed Assumptions'!$C$34:$I$34,0))</f>
        <v>1</v>
      </c>
      <c r="I33" s="96">
        <f>INDEX('Detailed Assumptions'!$C$34:$I$41,MATCH('Assumption calculations'!$C33,'Detailed Assumptions'!$C$34:$C$41,0),MATCH('Assumption calculations'!I$14,'Detailed Assumptions'!$C$34:$I$34,0))</f>
        <v>0.9</v>
      </c>
      <c r="J33" s="96">
        <f>INDEX('Detailed Assumptions'!$C$34:$I$41,MATCH('Assumption calculations'!$C33,'Detailed Assumptions'!$C$34:$C$41,0),MATCH('Assumption calculations'!J$14,'Detailed Assumptions'!$C$34:$I$34,0))</f>
        <v>0.9</v>
      </c>
      <c r="K33" s="96">
        <f>INDEX('Detailed Assumptions'!$C$34:$I$41,MATCH('Assumption calculations'!$C33,'Detailed Assumptions'!$C$34:$C$41,0),MATCH('Assumption calculations'!K$14,'Detailed Assumptions'!$C$34:$I$34,0))</f>
        <v>0.9</v>
      </c>
      <c r="L33" s="96">
        <f>INDEX('Detailed Assumptions'!$C$34:$I$41,MATCH('Assumption calculations'!$C33,'Detailed Assumptions'!$C$34:$C$41,0),MATCH('Assumption calculations'!L$14,'Detailed Assumptions'!$C$34:$I$34,0))</f>
        <v>0.9</v>
      </c>
      <c r="M33" s="96">
        <f>INDEX('Detailed Assumptions'!$C$34:$I$41,MATCH('Assumption calculations'!$C33,'Detailed Assumptions'!$C$34:$C$41,0),MATCH('Assumption calculations'!M$14,'Detailed Assumptions'!$C$34:$I$34,0))</f>
        <v>0.9</v>
      </c>
      <c r="N33" s="96">
        <f>INDEX('Detailed Assumptions'!$C$34:$I$41,MATCH('Assumption calculations'!$C33,'Detailed Assumptions'!$C$34:$C$41,0),MATCH('Assumption calculations'!N$14,'Detailed Assumptions'!$C$34:$I$34,0))</f>
        <v>1</v>
      </c>
      <c r="O33" s="96">
        <f>INDEX('Detailed Assumptions'!$C$34:$I$41,MATCH('Assumption calculations'!$C33,'Detailed Assumptions'!$C$34:$C$41,0),MATCH('Assumption calculations'!O$14,'Detailed Assumptions'!$C$34:$I$34,0))</f>
        <v>1</v>
      </c>
      <c r="P33" s="96">
        <f>INDEX('Detailed Assumptions'!$C$34:$I$41,MATCH('Assumption calculations'!$C33,'Detailed Assumptions'!$C$34:$C$41,0),MATCH('Assumption calculations'!P$14,'Detailed Assumptions'!$C$34:$I$34,0))</f>
        <v>1</v>
      </c>
      <c r="Q33" s="96">
        <f>INDEX('Detailed Assumptions'!$C$34:$I$41,MATCH('Assumption calculations'!$C33,'Detailed Assumptions'!$C$34:$C$41,0),MATCH('Assumption calculations'!Q$14,'Detailed Assumptions'!$C$34:$I$34,0))</f>
        <v>1</v>
      </c>
      <c r="R33" s="96">
        <f>INDEX('Detailed Assumptions'!$C$34:$I$41,MATCH('Assumption calculations'!$C33,'Detailed Assumptions'!$C$34:$C$41,0),MATCH('Assumption calculations'!R$14,'Detailed Assumptions'!$C$34:$I$34,0))</f>
        <v>1</v>
      </c>
      <c r="S33" s="96">
        <f>INDEX('Detailed Assumptions'!$C$34:$I$41,MATCH('Assumption calculations'!$C33,'Detailed Assumptions'!$C$34:$C$41,0),MATCH('Assumption calculations'!S$14,'Detailed Assumptions'!$C$34:$I$34,0))</f>
        <v>1</v>
      </c>
      <c r="T33" s="96">
        <f>INDEX('Detailed Assumptions'!$C$34:$I$41,MATCH('Assumption calculations'!$C33,'Detailed Assumptions'!$C$34:$C$41,0),MATCH('Assumption calculations'!T$14,'Detailed Assumptions'!$C$34:$I$34,0))</f>
        <v>1</v>
      </c>
      <c r="U33" s="96">
        <f>INDEX('Detailed Assumptions'!$C$34:$I$41,MATCH('Assumption calculations'!$C33,'Detailed Assumptions'!$C$34:$C$41,0),MATCH('Assumption calculations'!U$14,'Detailed Assumptions'!$C$34:$I$34,0))</f>
        <v>1</v>
      </c>
      <c r="V33" s="96">
        <f>INDEX('Detailed Assumptions'!$C$34:$I$41,MATCH('Assumption calculations'!$C33,'Detailed Assumptions'!$C$34:$C$41,0),MATCH('Assumption calculations'!V$14,'Detailed Assumptions'!$C$34:$I$34,0))</f>
        <v>1</v>
      </c>
      <c r="W33" s="96">
        <f>INDEX('Detailed Assumptions'!$C$34:$I$41,MATCH('Assumption calculations'!$C33,'Detailed Assumptions'!$C$34:$C$41,0),MATCH('Assumption calculations'!W$14,'Detailed Assumptions'!$C$34:$I$34,0))</f>
        <v>1</v>
      </c>
      <c r="X33" s="96">
        <f>INDEX('Detailed Assumptions'!$C$34:$I$41,MATCH('Assumption calculations'!$C33,'Detailed Assumptions'!$C$34:$C$41,0),MATCH('Assumption calculations'!X$14,'Detailed Assumptions'!$C$34:$I$34,0))</f>
        <v>1</v>
      </c>
      <c r="Y33" s="96">
        <f>INDEX('Detailed Assumptions'!$C$34:$I$41,MATCH('Assumption calculations'!$C33,'Detailed Assumptions'!$C$34:$C$41,0),MATCH('Assumption calculations'!Y$14,'Detailed Assumptions'!$C$34:$I$34,0))</f>
        <v>1</v>
      </c>
      <c r="Z33" s="96">
        <f>INDEX('Detailed Assumptions'!$C$34:$I$41,MATCH('Assumption calculations'!$C33,'Detailed Assumptions'!$C$34:$C$41,0),MATCH('Assumption calculations'!Z$14,'Detailed Assumptions'!$C$34:$I$34,0))</f>
        <v>1</v>
      </c>
      <c r="AA33" s="96">
        <f>INDEX('Detailed Assumptions'!$C$34:$I$41,MATCH('Assumption calculations'!$C33,'Detailed Assumptions'!$C$34:$C$41,0),MATCH('Assumption calculations'!AA$14,'Detailed Assumptions'!$C$34:$I$34,0))</f>
        <v>1</v>
      </c>
      <c r="AB33" s="96">
        <f>INDEX('Detailed Assumptions'!$C$34:$I$41,MATCH('Assumption calculations'!$C33,'Detailed Assumptions'!$C$34:$C$41,0),MATCH('Assumption calculations'!AB$14,'Detailed Assumptions'!$C$34:$I$34,0))</f>
        <v>1</v>
      </c>
      <c r="AC33" s="96">
        <f>INDEX('Detailed Assumptions'!$C$34:$I$41,MATCH('Assumption calculations'!$C33,'Detailed Assumptions'!$C$34:$C$41,0),MATCH('Assumption calculations'!AC$14,'Detailed Assumptions'!$C$34:$I$34,0))</f>
        <v>0.99</v>
      </c>
      <c r="AD33" s="96">
        <f>INDEX('Detailed Assumptions'!$C$34:$I$41,MATCH('Assumption calculations'!$C33,'Detailed Assumptions'!$C$34:$C$41,0),MATCH('Assumption calculations'!AD$14,'Detailed Assumptions'!$C$34:$I$34,0))</f>
        <v>0.99</v>
      </c>
      <c r="AE33" s="96">
        <f>INDEX('Detailed Assumptions'!$C$34:$I$41,MATCH('Assumption calculations'!$C33,'Detailed Assumptions'!$C$34:$C$41,0),MATCH('Assumption calculations'!AE$14,'Detailed Assumptions'!$C$34:$I$34,0))</f>
        <v>0.99</v>
      </c>
      <c r="AF33" s="96">
        <f>INDEX('Detailed Assumptions'!$C$34:$I$41,MATCH('Assumption calculations'!$C33,'Detailed Assumptions'!$C$34:$C$41,0),MATCH('Assumption calculations'!AF$14,'Detailed Assumptions'!$C$34:$I$34,0))</f>
        <v>0.99</v>
      </c>
      <c r="AG33" s="96">
        <f>INDEX('Detailed Assumptions'!$C$34:$I$41,MATCH('Assumption calculations'!$C33,'Detailed Assumptions'!$C$34:$C$41,0),MATCH('Assumption calculations'!AG$14,'Detailed Assumptions'!$C$34:$I$34,0))</f>
        <v>0.99</v>
      </c>
    </row>
    <row r="34" spans="2:33" s="98" customFormat="1" ht="13" thickTop="1">
      <c r="B34" s="52" t="s">
        <v>85</v>
      </c>
      <c r="C34" s="97" t="s">
        <v>65</v>
      </c>
      <c r="D34" s="94">
        <f>MIN(D32,D33)</f>
        <v>0.26250000000000001</v>
      </c>
      <c r="E34" s="94">
        <f t="shared" ref="E34:AG34" si="5">MIN(E32,E33)</f>
        <v>0.27500000000000002</v>
      </c>
      <c r="F34" s="94">
        <f t="shared" si="5"/>
        <v>0.28749999999999998</v>
      </c>
      <c r="G34" s="94">
        <f t="shared" si="5"/>
        <v>0.3</v>
      </c>
      <c r="H34" s="94">
        <f t="shared" si="5"/>
        <v>0.3125</v>
      </c>
      <c r="I34" s="94">
        <f t="shared" si="5"/>
        <v>0.5161290322580645</v>
      </c>
      <c r="J34" s="94">
        <f t="shared" si="5"/>
        <v>0.5161290322580645</v>
      </c>
      <c r="K34" s="94">
        <f t="shared" si="5"/>
        <v>0.52454032258064509</v>
      </c>
      <c r="L34" s="94">
        <f t="shared" si="5"/>
        <v>0.53831016129032261</v>
      </c>
      <c r="M34" s="94">
        <f t="shared" si="5"/>
        <v>0.56274919354838726</v>
      </c>
      <c r="N34" s="94">
        <f t="shared" si="5"/>
        <v>0.92620009620009625</v>
      </c>
      <c r="O34" s="94">
        <f t="shared" si="5"/>
        <v>0.92641873278236919</v>
      </c>
      <c r="P34" s="94">
        <f t="shared" si="5"/>
        <v>0.94819575513441456</v>
      </c>
      <c r="Q34" s="94">
        <f t="shared" si="5"/>
        <v>1</v>
      </c>
      <c r="R34" s="94">
        <f t="shared" si="5"/>
        <v>1</v>
      </c>
      <c r="S34" s="94">
        <f t="shared" si="5"/>
        <v>0.99589731871601661</v>
      </c>
      <c r="T34" s="94">
        <f t="shared" si="5"/>
        <v>0.99613428885783106</v>
      </c>
      <c r="U34" s="94">
        <f t="shared" si="5"/>
        <v>0.99728662712809568</v>
      </c>
      <c r="V34" s="94">
        <f t="shared" si="5"/>
        <v>0.99929681862866548</v>
      </c>
      <c r="W34" s="94">
        <f t="shared" si="5"/>
        <v>1</v>
      </c>
      <c r="X34" s="94">
        <f t="shared" si="5"/>
        <v>0.92</v>
      </c>
      <c r="Y34" s="94">
        <f t="shared" si="5"/>
        <v>0.92</v>
      </c>
      <c r="Z34" s="94">
        <f t="shared" si="5"/>
        <v>0.92806724999999979</v>
      </c>
      <c r="AA34" s="94">
        <f t="shared" si="5"/>
        <v>0.94780159500000016</v>
      </c>
      <c r="AB34" s="94">
        <f t="shared" si="5"/>
        <v>0.98784367500000003</v>
      </c>
      <c r="AC34" s="94">
        <f t="shared" si="5"/>
        <v>0.87391304347826071</v>
      </c>
      <c r="AD34" s="94">
        <f t="shared" si="5"/>
        <v>0.87826086956521743</v>
      </c>
      <c r="AE34" s="94">
        <f t="shared" si="5"/>
        <v>0.88813327445652168</v>
      </c>
      <c r="AF34" s="94">
        <f t="shared" si="5"/>
        <v>0.90521455500000003</v>
      </c>
      <c r="AG34" s="94">
        <f t="shared" si="5"/>
        <v>0.94087387092391306</v>
      </c>
    </row>
    <row r="35" spans="2:33" s="33" customFormat="1"/>
    <row r="36" spans="2:33" s="1" customFormat="1">
      <c r="M36" s="43"/>
    </row>
    <row r="37" spans="2:33">
      <c r="C37" s="58" t="s">
        <v>43</v>
      </c>
      <c r="D37" s="39" t="s">
        <v>18</v>
      </c>
      <c r="E37" s="39" t="s">
        <v>19</v>
      </c>
      <c r="F37" s="39" t="s">
        <v>16</v>
      </c>
      <c r="G37" s="39" t="s">
        <v>17</v>
      </c>
      <c r="H37" s="39" t="s">
        <v>20</v>
      </c>
      <c r="I37" s="39" t="s">
        <v>21</v>
      </c>
    </row>
    <row r="38" spans="2:33" s="1" customFormat="1">
      <c r="C38" s="37">
        <v>2015</v>
      </c>
      <c r="D38" s="49">
        <f>'Detailed Assumptions'!D27</f>
        <v>0.25</v>
      </c>
      <c r="E38" s="49">
        <f>'Detailed Assumptions'!E27</f>
        <v>0.5161290322580645</v>
      </c>
      <c r="F38" s="49">
        <f>'Detailed Assumptions'!F27</f>
        <v>0.93</v>
      </c>
      <c r="G38" s="49">
        <f>'Detailed Assumptions'!G27</f>
        <v>1</v>
      </c>
      <c r="H38" s="49">
        <f>'Detailed Assumptions'!H27</f>
        <v>0.92</v>
      </c>
      <c r="I38" s="49">
        <f>'Detailed Assumptions'!I27</f>
        <v>0.86956521739130432</v>
      </c>
    </row>
    <row r="39" spans="2:33">
      <c r="B39">
        <v>1</v>
      </c>
      <c r="C39" s="37">
        <v>2016</v>
      </c>
      <c r="D39" s="49">
        <f t="shared" ref="D39:I43" si="6">INDEX($C$13:$AG$34,MATCH($C$34,$C$13:$C$34,0),MATCH($C39&amp;D$37,$C$13:$AG$13,0))</f>
        <v>0.26250000000000001</v>
      </c>
      <c r="E39" s="49">
        <f t="shared" si="6"/>
        <v>0.5161290322580645</v>
      </c>
      <c r="F39" s="49">
        <f t="shared" si="6"/>
        <v>0.92620009620009625</v>
      </c>
      <c r="G39" s="49">
        <f t="shared" si="6"/>
        <v>0.99589731871601661</v>
      </c>
      <c r="H39" s="49">
        <f t="shared" si="6"/>
        <v>0.92</v>
      </c>
      <c r="I39" s="49">
        <f t="shared" si="6"/>
        <v>0.87391304347826071</v>
      </c>
    </row>
    <row r="40" spans="2:33">
      <c r="B40">
        <v>2</v>
      </c>
      <c r="C40" s="37">
        <v>2017</v>
      </c>
      <c r="D40" s="49">
        <f t="shared" si="6"/>
        <v>0.27500000000000002</v>
      </c>
      <c r="E40" s="49">
        <f t="shared" si="6"/>
        <v>0.5161290322580645</v>
      </c>
      <c r="F40" s="49">
        <f>INDEX($C$13:$AG$34,MATCH($C$34,$C$13:$C$34,0),MATCH($C40&amp;F$37,$C$13:$AG$13,0))</f>
        <v>0.92641873278236919</v>
      </c>
      <c r="G40" s="49">
        <f t="shared" si="6"/>
        <v>0.99613428885783106</v>
      </c>
      <c r="H40" s="49">
        <f t="shared" si="6"/>
        <v>0.92</v>
      </c>
      <c r="I40" s="49">
        <f t="shared" si="6"/>
        <v>0.87826086956521743</v>
      </c>
    </row>
    <row r="41" spans="2:33">
      <c r="B41">
        <v>3</v>
      </c>
      <c r="C41" s="37">
        <v>2018</v>
      </c>
      <c r="D41" s="49">
        <f t="shared" si="6"/>
        <v>0.28749999999999998</v>
      </c>
      <c r="E41" s="49">
        <f t="shared" si="6"/>
        <v>0.52454032258064509</v>
      </c>
      <c r="F41" s="49">
        <f>INDEX($C$13:$AG$34,MATCH($C$34,$C$13:$C$34,0),MATCH($C41&amp;F$37,$C$13:$AG$13,0))</f>
        <v>0.94819575513441456</v>
      </c>
      <c r="G41" s="49">
        <f t="shared" si="6"/>
        <v>0.99728662712809568</v>
      </c>
      <c r="H41" s="49">
        <f t="shared" si="6"/>
        <v>0.92806724999999979</v>
      </c>
      <c r="I41" s="49">
        <f t="shared" si="6"/>
        <v>0.88813327445652168</v>
      </c>
      <c r="Y41" s="80"/>
      <c r="Z41" s="80"/>
    </row>
    <row r="42" spans="2:33">
      <c r="B42">
        <v>4</v>
      </c>
      <c r="C42" s="37">
        <v>2019</v>
      </c>
      <c r="D42" s="49">
        <f t="shared" si="6"/>
        <v>0.3</v>
      </c>
      <c r="E42" s="49">
        <f t="shared" si="6"/>
        <v>0.53831016129032261</v>
      </c>
      <c r="F42" s="49">
        <f t="shared" si="6"/>
        <v>1</v>
      </c>
      <c r="G42" s="49">
        <f t="shared" si="6"/>
        <v>0.99929681862866548</v>
      </c>
      <c r="H42" s="49">
        <f t="shared" si="6"/>
        <v>0.94780159500000016</v>
      </c>
      <c r="I42" s="49">
        <f t="shared" si="6"/>
        <v>0.90521455500000003</v>
      </c>
      <c r="Y42" s="43"/>
      <c r="Z42" s="43"/>
    </row>
    <row r="43" spans="2:33">
      <c r="B43">
        <v>5</v>
      </c>
      <c r="C43" s="37">
        <v>2020</v>
      </c>
      <c r="D43" s="49">
        <f t="shared" si="6"/>
        <v>0.3125</v>
      </c>
      <c r="E43" s="49">
        <f t="shared" si="6"/>
        <v>0.56274919354838726</v>
      </c>
      <c r="F43" s="49">
        <f t="shared" si="6"/>
        <v>1</v>
      </c>
      <c r="G43" s="49">
        <f>INDEX($C$13:$AG$34,MATCH($C$34,$C$13:$C$34,0),MATCH($C43&amp;G$37,$C$13:$AG$13,0))</f>
        <v>1</v>
      </c>
      <c r="H43" s="49">
        <f t="shared" si="6"/>
        <v>0.98784367500000003</v>
      </c>
      <c r="I43" s="49">
        <f t="shared" si="6"/>
        <v>0.94087387092391306</v>
      </c>
      <c r="Y43" s="43"/>
      <c r="Z43" s="43"/>
    </row>
    <row r="44" spans="2:33">
      <c r="Z44" s="1"/>
    </row>
    <row r="45" spans="2:33" s="1" customFormat="1"/>
    <row r="46" spans="2:33" s="34" customFormat="1">
      <c r="C46" s="42" t="s">
        <v>44</v>
      </c>
    </row>
    <row r="47" spans="2:33" s="1" customFormat="1" hidden="1">
      <c r="D47" s="1" t="str">
        <f>D52&amp;D53</f>
        <v>Supply costs2016</v>
      </c>
      <c r="E47" s="1" t="str">
        <f t="shared" ref="E47:W47" si="7">E52&amp;E53</f>
        <v>Supply costs2017</v>
      </c>
      <c r="F47" s="1" t="str">
        <f t="shared" si="7"/>
        <v>Supply costs2018</v>
      </c>
      <c r="G47" s="1" t="str">
        <f t="shared" si="7"/>
        <v>Supply costs2019</v>
      </c>
      <c r="H47" s="1" t="str">
        <f t="shared" si="7"/>
        <v>Supply costs2020</v>
      </c>
      <c r="I47" s="1" t="str">
        <f t="shared" si="7"/>
        <v>Training and Supervision2016</v>
      </c>
      <c r="J47" s="1" t="str">
        <f t="shared" si="7"/>
        <v>Training and Supervision2017</v>
      </c>
      <c r="K47" s="1" t="str">
        <f t="shared" si="7"/>
        <v>Training and Supervision2018</v>
      </c>
      <c r="L47" s="1" t="str">
        <f t="shared" si="7"/>
        <v>Training and Supervision2019</v>
      </c>
      <c r="M47" s="1" t="str">
        <f t="shared" si="7"/>
        <v>Training and Supervision2020</v>
      </c>
      <c r="N47" s="1" t="str">
        <f t="shared" si="7"/>
        <v>Personnel2016</v>
      </c>
      <c r="O47" s="1" t="str">
        <f t="shared" si="7"/>
        <v>Personnel2017</v>
      </c>
      <c r="P47" s="1" t="str">
        <f t="shared" si="7"/>
        <v>Personnel2018</v>
      </c>
      <c r="Q47" s="1" t="str">
        <f t="shared" si="7"/>
        <v>Personnel2019</v>
      </c>
      <c r="R47" s="1" t="str">
        <f t="shared" si="7"/>
        <v>Personnel2020</v>
      </c>
      <c r="S47" s="1" t="str">
        <f t="shared" si="7"/>
        <v>Other program costs2016</v>
      </c>
      <c r="T47" s="1" t="str">
        <f t="shared" si="7"/>
        <v>Other program costs2017</v>
      </c>
      <c r="U47" s="1" t="str">
        <f t="shared" si="7"/>
        <v>Other program costs2018</v>
      </c>
      <c r="V47" s="1" t="str">
        <f t="shared" si="7"/>
        <v>Other program costs2019</v>
      </c>
      <c r="W47" s="1" t="str">
        <f t="shared" si="7"/>
        <v>Other program costs2020</v>
      </c>
    </row>
    <row r="48" spans="2:33" s="1" customFormat="1"/>
    <row r="49" spans="3:23" s="1" customFormat="1">
      <c r="D49" s="40" t="s">
        <v>183</v>
      </c>
      <c r="E49" s="40" t="s">
        <v>183</v>
      </c>
      <c r="F49" s="40" t="s">
        <v>183</v>
      </c>
      <c r="G49" s="40" t="s">
        <v>183</v>
      </c>
      <c r="H49" s="40" t="s">
        <v>183</v>
      </c>
      <c r="I49" s="40" t="s">
        <v>184</v>
      </c>
      <c r="J49" s="40" t="s">
        <v>184</v>
      </c>
      <c r="K49" s="40" t="s">
        <v>184</v>
      </c>
      <c r="L49" s="40" t="s">
        <v>184</v>
      </c>
      <c r="M49" s="40" t="s">
        <v>184</v>
      </c>
      <c r="N49" s="40" t="s">
        <v>184</v>
      </c>
      <c r="O49" s="40" t="s">
        <v>184</v>
      </c>
      <c r="P49" s="40" t="s">
        <v>184</v>
      </c>
      <c r="Q49" s="40" t="s">
        <v>184</v>
      </c>
      <c r="R49" s="40" t="s">
        <v>184</v>
      </c>
      <c r="S49" s="40" t="s">
        <v>184</v>
      </c>
      <c r="T49" s="40" t="s">
        <v>184</v>
      </c>
      <c r="U49" s="40" t="s">
        <v>184</v>
      </c>
      <c r="V49" s="40" t="s">
        <v>184</v>
      </c>
      <c r="W49" s="40" t="s">
        <v>184</v>
      </c>
    </row>
    <row r="50" spans="3:23" s="1" customFormat="1">
      <c r="D50" s="45">
        <f>INDEX('Detailed Assumptions'!$C$87:$H$89,MATCH('Assumption calculations'!D$49,'Detailed Assumptions'!$C$87:$C$89,0),MATCH('Assumption calculations'!D$53,'Detailed Assumptions'!$C$87:$H$87,0))</f>
        <v>1</v>
      </c>
      <c r="E50" s="45">
        <f>INDEX('Detailed Assumptions'!$C$87:$H$89,MATCH('Assumption calculations'!E$49,'Detailed Assumptions'!$C$87:$C$89,0),MATCH('Assumption calculations'!E$53,'Detailed Assumptions'!$C$87:$H$87,0))</f>
        <v>0.8</v>
      </c>
      <c r="F50" s="45">
        <f>INDEX('Detailed Assumptions'!$C$87:$H$89,MATCH('Assumption calculations'!F$49,'Detailed Assumptions'!$C$87:$C$89,0),MATCH('Assumption calculations'!F$53,'Detailed Assumptions'!$C$87:$H$87,0))</f>
        <v>0.65</v>
      </c>
      <c r="G50" s="45">
        <f>INDEX('Detailed Assumptions'!$C$87:$H$89,MATCH('Assumption calculations'!G$49,'Detailed Assumptions'!$C$87:$C$89,0),MATCH('Assumption calculations'!G$53,'Detailed Assumptions'!$C$87:$H$87,0))</f>
        <v>0.55000000000000004</v>
      </c>
      <c r="H50" s="45">
        <f>INDEX('Detailed Assumptions'!$C$87:$H$89,MATCH('Assumption calculations'!H$49,'Detailed Assumptions'!$C$87:$C$89,0),MATCH('Assumption calculations'!H$53,'Detailed Assumptions'!$C$87:$H$87,0))</f>
        <v>0.5</v>
      </c>
      <c r="I50" s="45">
        <f>INDEX('Detailed Assumptions'!$C$87:$H$89,MATCH('Assumption calculations'!I$49,'Detailed Assumptions'!$C$87:$C$89,0),MATCH('Assumption calculations'!I$53,'Detailed Assumptions'!$C$87:$H$87,0))</f>
        <v>1</v>
      </c>
      <c r="J50" s="45">
        <f>INDEX('Detailed Assumptions'!$C$87:$H$89,MATCH('Assumption calculations'!J$49,'Detailed Assumptions'!$C$87:$C$89,0),MATCH('Assumption calculations'!J$53,'Detailed Assumptions'!$C$87:$H$87,0))</f>
        <v>0.85</v>
      </c>
      <c r="K50" s="45">
        <f>INDEX('Detailed Assumptions'!$C$87:$H$89,MATCH('Assumption calculations'!K$49,'Detailed Assumptions'!$C$87:$C$89,0),MATCH('Assumption calculations'!K$53,'Detailed Assumptions'!$C$87:$H$87,0))</f>
        <v>0.75</v>
      </c>
      <c r="L50" s="45">
        <f>INDEX('Detailed Assumptions'!$C$87:$H$89,MATCH('Assumption calculations'!L$49,'Detailed Assumptions'!$C$87:$C$89,0),MATCH('Assumption calculations'!L$53,'Detailed Assumptions'!$C$87:$H$87,0))</f>
        <v>0.7</v>
      </c>
      <c r="M50" s="45">
        <f>INDEX('Detailed Assumptions'!$C$87:$H$89,MATCH('Assumption calculations'!M$49,'Detailed Assumptions'!$C$87:$C$89,0),MATCH('Assumption calculations'!M$53,'Detailed Assumptions'!$C$87:$H$87,0))</f>
        <v>0.66666666666666663</v>
      </c>
      <c r="N50" s="45">
        <f>INDEX('Detailed Assumptions'!$C$87:$H$89,MATCH('Assumption calculations'!N$49,'Detailed Assumptions'!$C$87:$C$89,0),MATCH('Assumption calculations'!N$53,'Detailed Assumptions'!$C$87:$H$87,0))</f>
        <v>1</v>
      </c>
      <c r="O50" s="45">
        <f>INDEX('Detailed Assumptions'!$C$87:$H$89,MATCH('Assumption calculations'!O$49,'Detailed Assumptions'!$C$87:$C$89,0),MATCH('Assumption calculations'!O$53,'Detailed Assumptions'!$C$87:$H$87,0))</f>
        <v>0.85</v>
      </c>
      <c r="P50" s="45">
        <f>INDEX('Detailed Assumptions'!$C$87:$H$89,MATCH('Assumption calculations'!P$49,'Detailed Assumptions'!$C$87:$C$89,0),MATCH('Assumption calculations'!P$53,'Detailed Assumptions'!$C$87:$H$87,0))</f>
        <v>0.75</v>
      </c>
      <c r="Q50" s="45">
        <f>INDEX('Detailed Assumptions'!$C$87:$H$89,MATCH('Assumption calculations'!Q$49,'Detailed Assumptions'!$C$87:$C$89,0),MATCH('Assumption calculations'!Q$53,'Detailed Assumptions'!$C$87:$H$87,0))</f>
        <v>0.7</v>
      </c>
      <c r="R50" s="45">
        <f>INDEX('Detailed Assumptions'!$C$87:$H$89,MATCH('Assumption calculations'!R$49,'Detailed Assumptions'!$C$87:$C$89,0),MATCH('Assumption calculations'!R$53,'Detailed Assumptions'!$C$87:$H$87,0))</f>
        <v>0.66666666666666663</v>
      </c>
      <c r="S50" s="45">
        <f>INDEX('Detailed Assumptions'!$C$87:$H$89,MATCH('Assumption calculations'!S$49,'Detailed Assumptions'!$C$87:$C$89,0),MATCH('Assumption calculations'!S$53,'Detailed Assumptions'!$C$87:$H$87,0))</f>
        <v>1</v>
      </c>
      <c r="T50" s="45">
        <f>INDEX('Detailed Assumptions'!$C$87:$H$89,MATCH('Assumption calculations'!T$49,'Detailed Assumptions'!$C$87:$C$89,0),MATCH('Assumption calculations'!T$53,'Detailed Assumptions'!$C$87:$H$87,0))</f>
        <v>0.85</v>
      </c>
      <c r="U50" s="45">
        <f>INDEX('Detailed Assumptions'!$C$87:$H$89,MATCH('Assumption calculations'!U$49,'Detailed Assumptions'!$C$87:$C$89,0),MATCH('Assumption calculations'!U$53,'Detailed Assumptions'!$C$87:$H$87,0))</f>
        <v>0.75</v>
      </c>
      <c r="V50" s="45">
        <f>INDEX('Detailed Assumptions'!$C$87:$H$89,MATCH('Assumption calculations'!V$49,'Detailed Assumptions'!$C$87:$C$89,0),MATCH('Assumption calculations'!V$53,'Detailed Assumptions'!$C$87:$H$87,0))</f>
        <v>0.7</v>
      </c>
      <c r="W50" s="45">
        <f>INDEX('Detailed Assumptions'!$C$87:$H$89,MATCH('Assumption calculations'!W$49,'Detailed Assumptions'!$C$87:$C$89,0),MATCH('Assumption calculations'!W$53,'Detailed Assumptions'!$C$87:$H$87,0))</f>
        <v>0.66666666666666663</v>
      </c>
    </row>
    <row r="51" spans="3:23" s="1" customFormat="1"/>
    <row r="52" spans="3:23" s="1" customFormat="1">
      <c r="D52" s="40" t="s">
        <v>56</v>
      </c>
      <c r="E52" s="40" t="s">
        <v>56</v>
      </c>
      <c r="F52" s="40" t="s">
        <v>56</v>
      </c>
      <c r="G52" s="40" t="s">
        <v>56</v>
      </c>
      <c r="H52" s="40" t="s">
        <v>56</v>
      </c>
      <c r="I52" s="40" t="s">
        <v>80</v>
      </c>
      <c r="J52" s="40" t="s">
        <v>80</v>
      </c>
      <c r="K52" s="40" t="s">
        <v>80</v>
      </c>
      <c r="L52" s="40" t="s">
        <v>80</v>
      </c>
      <c r="M52" s="40" t="s">
        <v>80</v>
      </c>
      <c r="N52" s="40" t="s">
        <v>94</v>
      </c>
      <c r="O52" s="40" t="s">
        <v>94</v>
      </c>
      <c r="P52" s="40" t="s">
        <v>94</v>
      </c>
      <c r="Q52" s="40" t="s">
        <v>94</v>
      </c>
      <c r="R52" s="40" t="s">
        <v>94</v>
      </c>
      <c r="S52" s="40" t="s">
        <v>53</v>
      </c>
      <c r="T52" s="40" t="s">
        <v>53</v>
      </c>
      <c r="U52" s="40" t="s">
        <v>53</v>
      </c>
      <c r="V52" s="40" t="s">
        <v>53</v>
      </c>
      <c r="W52" s="40" t="s">
        <v>53</v>
      </c>
    </row>
    <row r="53" spans="3:23">
      <c r="C53" s="58" t="s">
        <v>59</v>
      </c>
      <c r="D53" s="39">
        <v>2016</v>
      </c>
      <c r="E53" s="39">
        <v>2017</v>
      </c>
      <c r="F53" s="39">
        <v>2018</v>
      </c>
      <c r="G53" s="39">
        <v>2019</v>
      </c>
      <c r="H53" s="39">
        <v>2020</v>
      </c>
      <c r="I53" s="39">
        <v>2016</v>
      </c>
      <c r="J53" s="39">
        <v>2017</v>
      </c>
      <c r="K53" s="39">
        <v>2018</v>
      </c>
      <c r="L53" s="39">
        <v>2019</v>
      </c>
      <c r="M53" s="39">
        <v>2020</v>
      </c>
      <c r="N53" s="39">
        <v>2016</v>
      </c>
      <c r="O53" s="39">
        <v>2017</v>
      </c>
      <c r="P53" s="39">
        <v>2018</v>
      </c>
      <c r="Q53" s="39">
        <v>2019</v>
      </c>
      <c r="R53" s="39">
        <v>2020</v>
      </c>
      <c r="S53" s="39">
        <v>2016</v>
      </c>
      <c r="T53" s="39">
        <v>2017</v>
      </c>
      <c r="U53" s="39">
        <v>2018</v>
      </c>
      <c r="V53" s="39">
        <v>2019</v>
      </c>
      <c r="W53" s="39">
        <v>2020</v>
      </c>
    </row>
    <row r="54" spans="3:23" s="1" customFormat="1">
      <c r="C54" s="37" t="s">
        <v>11</v>
      </c>
      <c r="D54" s="49">
        <f>1+INDEX($C$3:$H$9,MATCH($C54,$C$3:$C$9,0),MATCH(D$53,$C$3:$H$3,0))*INDEX('Detailed Assumptions'!$C$56:$G$62,MATCH('Assumption calculations'!$C54,'Detailed Assumptions'!$C$56:$C$62,0),MATCH('Assumption calculations'!D$52,'Detailed Assumptions'!$C$56:$G$56,0))*IF(INDEX('Detailed Assumptions'!$C$56:$G$62,MATCH('Assumption calculations'!$C54,'Detailed Assumptions'!$C$56:$C$62,0),MATCH('Assumption calculations'!D$52,'Detailed Assumptions'!$C$56:$G$56,0))&lt;=0,1,D$50)</f>
        <v>1</v>
      </c>
      <c r="E54" s="49">
        <f>1+INDEX($C$3:$H$9,MATCH($C54,$C$3:$C$9,0),MATCH(E$53,$C$3:$H$3,0))*INDEX('Detailed Assumptions'!$C$56:$G$62,MATCH('Assumption calculations'!$C54,'Detailed Assumptions'!$C$56:$C$62,0),MATCH('Assumption calculations'!E$52,'Detailed Assumptions'!$C$56:$G$56,0))*IF(INDEX('Detailed Assumptions'!$C$56:$G$62,MATCH('Assumption calculations'!$C54,'Detailed Assumptions'!$C$56:$C$62,0),MATCH('Assumption calculations'!E$52,'Detailed Assumptions'!$C$56:$G$56,0))&lt;=0,1,E$50)</f>
        <v>1</v>
      </c>
      <c r="F54" s="49">
        <f>1+INDEX($C$3:$H$9,MATCH($C54,$C$3:$C$9,0),MATCH(F$53,$C$3:$H$3,0))*INDEX('Detailed Assumptions'!$C$56:$G$62,MATCH('Assumption calculations'!$C54,'Detailed Assumptions'!$C$56:$C$62,0),MATCH('Assumption calculations'!F$52,'Detailed Assumptions'!$C$56:$G$56,0))*IF(INDEX('Detailed Assumptions'!$C$56:$G$62,MATCH('Assumption calculations'!$C54,'Detailed Assumptions'!$C$56:$C$62,0),MATCH('Assumption calculations'!F$52,'Detailed Assumptions'!$C$56:$G$56,0))&lt;=0,1,F$50)</f>
        <v>0.99</v>
      </c>
      <c r="G54" s="49">
        <f>1+INDEX($C$3:$H$9,MATCH($C54,$C$3:$C$9,0),MATCH(G$53,$C$3:$H$3,0))*INDEX('Detailed Assumptions'!$C$56:$G$62,MATCH('Assumption calculations'!$C54,'Detailed Assumptions'!$C$56:$C$62,0),MATCH('Assumption calculations'!G$52,'Detailed Assumptions'!$C$56:$G$56,0))*IF(INDEX('Detailed Assumptions'!$C$56:$G$62,MATCH('Assumption calculations'!$C54,'Detailed Assumptions'!$C$56:$C$62,0),MATCH('Assumption calculations'!G$52,'Detailed Assumptions'!$C$56:$G$56,0))&lt;=0,1,G$50)</f>
        <v>0.98</v>
      </c>
      <c r="H54" s="49">
        <f>1+INDEX($C$3:$H$9,MATCH($C54,$C$3:$C$9,0),MATCH(H$53,$C$3:$H$3,0))*INDEX('Detailed Assumptions'!$C$56:$G$62,MATCH('Assumption calculations'!$C54,'Detailed Assumptions'!$C$56:$C$62,0),MATCH('Assumption calculations'!H$52,'Detailed Assumptions'!$C$56:$G$56,0))*IF(INDEX('Detailed Assumptions'!$C$56:$G$62,MATCH('Assumption calculations'!$C54,'Detailed Assumptions'!$C$56:$C$62,0),MATCH('Assumption calculations'!H$52,'Detailed Assumptions'!$C$56:$G$56,0))&lt;=0,1,H$50)</f>
        <v>0.97</v>
      </c>
      <c r="I54" s="49">
        <f>1+INDEX($C$3:$H$9,MATCH($C54,$C$3:$C$9,0),MATCH(I$53,$C$3:$H$3,0))*INDEX('Detailed Assumptions'!$C$56:$G$62,MATCH('Assumption calculations'!$C54,'Detailed Assumptions'!$C$56:$C$62,0),MATCH('Assumption calculations'!I$52,'Detailed Assumptions'!$C$56:$G$56,0))*IF(INDEX('Detailed Assumptions'!$C$56:$G$62,MATCH('Assumption calculations'!$C54,'Detailed Assumptions'!$C$56:$C$62,0),MATCH('Assumption calculations'!I$52,'Detailed Assumptions'!$C$56:$G$56,0))&lt;=0,1,I$50)</f>
        <v>1</v>
      </c>
      <c r="J54" s="49">
        <f>1+INDEX($C$3:$H$9,MATCH($C54,$C$3:$C$9,0),MATCH(J$53,$C$3:$H$3,0))*INDEX('Detailed Assumptions'!$C$56:$G$62,MATCH('Assumption calculations'!$C54,'Detailed Assumptions'!$C$56:$C$62,0),MATCH('Assumption calculations'!J$52,'Detailed Assumptions'!$C$56:$G$56,0))*IF(INDEX('Detailed Assumptions'!$C$56:$G$62,MATCH('Assumption calculations'!$C54,'Detailed Assumptions'!$C$56:$C$62,0),MATCH('Assumption calculations'!J$52,'Detailed Assumptions'!$C$56:$G$56,0))&lt;=0,1,J$50)</f>
        <v>1</v>
      </c>
      <c r="K54" s="49">
        <f>1+INDEX($C$3:$H$9,MATCH($C54,$C$3:$C$9,0),MATCH(K$53,$C$3:$H$3,0))*INDEX('Detailed Assumptions'!$C$56:$G$62,MATCH('Assumption calculations'!$C54,'Detailed Assumptions'!$C$56:$C$62,0),MATCH('Assumption calculations'!K$52,'Detailed Assumptions'!$C$56:$G$56,0))*IF(INDEX('Detailed Assumptions'!$C$56:$G$62,MATCH('Assumption calculations'!$C54,'Detailed Assumptions'!$C$56:$C$62,0),MATCH('Assumption calculations'!K$52,'Detailed Assumptions'!$C$56:$G$56,0))&lt;=0,1,K$50)</f>
        <v>1</v>
      </c>
      <c r="L54" s="49">
        <f>1+INDEX($C$3:$H$9,MATCH($C54,$C$3:$C$9,0),MATCH(L$53,$C$3:$H$3,0))*INDEX('Detailed Assumptions'!$C$56:$G$62,MATCH('Assumption calculations'!$C54,'Detailed Assumptions'!$C$56:$C$62,0),MATCH('Assumption calculations'!L$52,'Detailed Assumptions'!$C$56:$G$56,0))*IF(INDEX('Detailed Assumptions'!$C$56:$G$62,MATCH('Assumption calculations'!$C54,'Detailed Assumptions'!$C$56:$C$62,0),MATCH('Assumption calculations'!L$52,'Detailed Assumptions'!$C$56:$G$56,0))&lt;=0,1,L$50)</f>
        <v>1</v>
      </c>
      <c r="M54" s="49">
        <f>1+INDEX($C$3:$H$9,MATCH($C54,$C$3:$C$9,0),MATCH(M$53,$C$3:$H$3,0))*INDEX('Detailed Assumptions'!$C$56:$G$62,MATCH('Assumption calculations'!$C54,'Detailed Assumptions'!$C$56:$C$62,0),MATCH('Assumption calculations'!M$52,'Detailed Assumptions'!$C$56:$G$56,0))*IF(INDEX('Detailed Assumptions'!$C$56:$G$62,MATCH('Assumption calculations'!$C54,'Detailed Assumptions'!$C$56:$C$62,0),MATCH('Assumption calculations'!M$52,'Detailed Assumptions'!$C$56:$G$56,0))&lt;=0,1,M$50)</f>
        <v>1</v>
      </c>
      <c r="N54" s="49">
        <f>1+INDEX($C$3:$H$9,MATCH($C54,$C$3:$C$9,0),MATCH(N$53,$C$3:$H$3,0))*INDEX('Detailed Assumptions'!$C$56:$G$62,MATCH('Assumption calculations'!$C54,'Detailed Assumptions'!$C$56:$C$62,0),MATCH('Assumption calculations'!N$52,'Detailed Assumptions'!$C$56:$G$56,0))*IF(INDEX('Detailed Assumptions'!$C$56:$G$62,MATCH('Assumption calculations'!$C54,'Detailed Assumptions'!$C$56:$C$62,0),MATCH('Assumption calculations'!N$52,'Detailed Assumptions'!$C$56:$G$56,0))&lt;=0,1,N$50)</f>
        <v>1</v>
      </c>
      <c r="O54" s="49">
        <f>1+INDEX($C$3:$H$9,MATCH($C54,$C$3:$C$9,0),MATCH(O$53,$C$3:$H$3,0))*INDEX('Detailed Assumptions'!$C$56:$G$62,MATCH('Assumption calculations'!$C54,'Detailed Assumptions'!$C$56:$C$62,0),MATCH('Assumption calculations'!O$52,'Detailed Assumptions'!$C$56:$G$56,0))*IF(INDEX('Detailed Assumptions'!$C$56:$G$62,MATCH('Assumption calculations'!$C54,'Detailed Assumptions'!$C$56:$C$62,0),MATCH('Assumption calculations'!O$52,'Detailed Assumptions'!$C$56:$G$56,0))&lt;=0,1,O$50)</f>
        <v>1</v>
      </c>
      <c r="P54" s="49">
        <f>1+INDEX($C$3:$H$9,MATCH($C54,$C$3:$C$9,0),MATCH(P$53,$C$3:$H$3,0))*INDEX('Detailed Assumptions'!$C$56:$G$62,MATCH('Assumption calculations'!$C54,'Detailed Assumptions'!$C$56:$C$62,0),MATCH('Assumption calculations'!P$52,'Detailed Assumptions'!$C$56:$G$56,0))*IF(INDEX('Detailed Assumptions'!$C$56:$G$62,MATCH('Assumption calculations'!$C54,'Detailed Assumptions'!$C$56:$C$62,0),MATCH('Assumption calculations'!P$52,'Detailed Assumptions'!$C$56:$G$56,0))&lt;=0,1,P$50)</f>
        <v>1</v>
      </c>
      <c r="Q54" s="49">
        <f>1+INDEX($C$3:$H$9,MATCH($C54,$C$3:$C$9,0),MATCH(Q$53,$C$3:$H$3,0))*INDEX('Detailed Assumptions'!$C$56:$G$62,MATCH('Assumption calculations'!$C54,'Detailed Assumptions'!$C$56:$C$62,0),MATCH('Assumption calculations'!Q$52,'Detailed Assumptions'!$C$56:$G$56,0))*IF(INDEX('Detailed Assumptions'!$C$56:$G$62,MATCH('Assumption calculations'!$C54,'Detailed Assumptions'!$C$56:$C$62,0),MATCH('Assumption calculations'!Q$52,'Detailed Assumptions'!$C$56:$G$56,0))&lt;=0,1,Q$50)</f>
        <v>1</v>
      </c>
      <c r="R54" s="49">
        <f>1+INDEX($C$3:$H$9,MATCH($C54,$C$3:$C$9,0),MATCH(R$53,$C$3:$H$3,0))*INDEX('Detailed Assumptions'!$C$56:$G$62,MATCH('Assumption calculations'!$C54,'Detailed Assumptions'!$C$56:$C$62,0),MATCH('Assumption calculations'!R$52,'Detailed Assumptions'!$C$56:$G$56,0))*IF(INDEX('Detailed Assumptions'!$C$56:$G$62,MATCH('Assumption calculations'!$C54,'Detailed Assumptions'!$C$56:$C$62,0),MATCH('Assumption calculations'!R$52,'Detailed Assumptions'!$C$56:$G$56,0))&lt;=0,1,R$50)</f>
        <v>1</v>
      </c>
      <c r="S54" s="49">
        <f>1+INDEX($C$3:$H$9,MATCH($C54,$C$3:$C$9,0),MATCH(S$53,$C$3:$H$3,0))*INDEX('Detailed Assumptions'!$C$56:$G$62,MATCH('Assumption calculations'!$C54,'Detailed Assumptions'!$C$56:$C$62,0),MATCH('Assumption calculations'!S$52,'Detailed Assumptions'!$C$56:$G$56,0))*IF(INDEX('Detailed Assumptions'!$C$56:$G$62,MATCH('Assumption calculations'!$C54,'Detailed Assumptions'!$C$56:$C$62,0),MATCH('Assumption calculations'!S$52,'Detailed Assumptions'!$C$56:$G$56,0))&lt;=0,1,S$50)</f>
        <v>1</v>
      </c>
      <c r="T54" s="49">
        <f>1+INDEX($C$3:$H$9,MATCH($C54,$C$3:$C$9,0),MATCH(T$53,$C$3:$H$3,0))*INDEX('Detailed Assumptions'!$C$56:$G$62,MATCH('Assumption calculations'!$C54,'Detailed Assumptions'!$C$56:$C$62,0),MATCH('Assumption calculations'!T$52,'Detailed Assumptions'!$C$56:$G$56,0))*IF(INDEX('Detailed Assumptions'!$C$56:$G$62,MATCH('Assumption calculations'!$C54,'Detailed Assumptions'!$C$56:$C$62,0),MATCH('Assumption calculations'!T$52,'Detailed Assumptions'!$C$56:$G$56,0))&lt;=0,1,T$50)</f>
        <v>1</v>
      </c>
      <c r="U54" s="49">
        <f>1+INDEX($C$3:$H$9,MATCH($C54,$C$3:$C$9,0),MATCH(U$53,$C$3:$H$3,0))*INDEX('Detailed Assumptions'!$C$56:$G$62,MATCH('Assumption calculations'!$C54,'Detailed Assumptions'!$C$56:$C$62,0),MATCH('Assumption calculations'!U$52,'Detailed Assumptions'!$C$56:$G$56,0))*IF(INDEX('Detailed Assumptions'!$C$56:$G$62,MATCH('Assumption calculations'!$C54,'Detailed Assumptions'!$C$56:$C$62,0),MATCH('Assumption calculations'!U$52,'Detailed Assumptions'!$C$56:$G$56,0))&lt;=0,1,U$50)</f>
        <v>1</v>
      </c>
      <c r="V54" s="49">
        <f>1+INDEX($C$3:$H$9,MATCH($C54,$C$3:$C$9,0),MATCH(V$53,$C$3:$H$3,0))*INDEX('Detailed Assumptions'!$C$56:$G$62,MATCH('Assumption calculations'!$C54,'Detailed Assumptions'!$C$56:$C$62,0),MATCH('Assumption calculations'!V$52,'Detailed Assumptions'!$C$56:$G$56,0))*IF(INDEX('Detailed Assumptions'!$C$56:$G$62,MATCH('Assumption calculations'!$C54,'Detailed Assumptions'!$C$56:$C$62,0),MATCH('Assumption calculations'!V$52,'Detailed Assumptions'!$C$56:$G$56,0))&lt;=0,1,V$50)</f>
        <v>1</v>
      </c>
      <c r="W54" s="49">
        <f>1+INDEX($C$3:$H$9,MATCH($C54,$C$3:$C$9,0),MATCH(W$53,$C$3:$H$3,0))*INDEX('Detailed Assumptions'!$C$56:$G$62,MATCH('Assumption calculations'!$C54,'Detailed Assumptions'!$C$56:$C$62,0),MATCH('Assumption calculations'!W$52,'Detailed Assumptions'!$C$56:$G$56,0))*IF(INDEX('Detailed Assumptions'!$C$56:$G$62,MATCH('Assumption calculations'!$C54,'Detailed Assumptions'!$C$56:$C$62,0),MATCH('Assumption calculations'!W$52,'Detailed Assumptions'!$C$56:$G$56,0))&lt;=0,1,W$50)</f>
        <v>1</v>
      </c>
    </row>
    <row r="55" spans="3:23" s="1" customFormat="1">
      <c r="C55" s="37" t="s">
        <v>12</v>
      </c>
      <c r="D55" s="49">
        <f>1+INDEX($C$3:$H$9,MATCH($C55,$C$3:$C$9,0),MATCH(D$53,$C$3:$H$3,0))*INDEX('Detailed Assumptions'!$C$56:$G$62,MATCH('Assumption calculations'!$C55,'Detailed Assumptions'!$C$56:$C$62,0),MATCH('Assumption calculations'!D$52,'Detailed Assumptions'!$C$56:$G$56,0))*IF(INDEX('Detailed Assumptions'!$C$56:$G$62,MATCH('Assumption calculations'!$C55,'Detailed Assumptions'!$C$56:$C$62,0),MATCH('Assumption calculations'!D$52,'Detailed Assumptions'!$C$56:$G$56,0))&lt;=0,1,D$50)</f>
        <v>1</v>
      </c>
      <c r="E55" s="49">
        <f>1+INDEX($C$3:$H$9,MATCH($C55,$C$3:$C$9,0),MATCH(E$53,$C$3:$H$3,0))*INDEX('Detailed Assumptions'!$C$56:$G$62,MATCH('Assumption calculations'!$C55,'Detailed Assumptions'!$C$56:$C$62,0),MATCH('Assumption calculations'!E$52,'Detailed Assumptions'!$C$56:$G$56,0))*IF(INDEX('Detailed Assumptions'!$C$56:$G$62,MATCH('Assumption calculations'!$C55,'Detailed Assumptions'!$C$56:$C$62,0),MATCH('Assumption calculations'!E$52,'Detailed Assumptions'!$C$56:$G$56,0))&lt;=0,1,E$50)</f>
        <v>1</v>
      </c>
      <c r="F55" s="49">
        <f>1+INDEX($C$3:$H$9,MATCH($C55,$C$3:$C$9,0),MATCH(F$53,$C$3:$H$3,0))*INDEX('Detailed Assumptions'!$C$56:$G$62,MATCH('Assumption calculations'!$C55,'Detailed Assumptions'!$C$56:$C$62,0),MATCH('Assumption calculations'!F$52,'Detailed Assumptions'!$C$56:$G$56,0))*IF(INDEX('Detailed Assumptions'!$C$56:$G$62,MATCH('Assumption calculations'!$C55,'Detailed Assumptions'!$C$56:$C$62,0),MATCH('Assumption calculations'!F$52,'Detailed Assumptions'!$C$56:$G$56,0))&lt;=0,1,F$50)</f>
        <v>1</v>
      </c>
      <c r="G55" s="49">
        <f>1+INDEX($C$3:$H$9,MATCH($C55,$C$3:$C$9,0),MATCH(G$53,$C$3:$H$3,0))*INDEX('Detailed Assumptions'!$C$56:$G$62,MATCH('Assumption calculations'!$C55,'Detailed Assumptions'!$C$56:$C$62,0),MATCH('Assumption calculations'!G$52,'Detailed Assumptions'!$C$56:$G$56,0))*IF(INDEX('Detailed Assumptions'!$C$56:$G$62,MATCH('Assumption calculations'!$C55,'Detailed Assumptions'!$C$56:$C$62,0),MATCH('Assumption calculations'!G$52,'Detailed Assumptions'!$C$56:$G$56,0))&lt;=0,1,G$50)</f>
        <v>0.98499999999999999</v>
      </c>
      <c r="H55" s="49">
        <f>1+INDEX($C$3:$H$9,MATCH($C55,$C$3:$C$9,0),MATCH(H$53,$C$3:$H$3,0))*INDEX('Detailed Assumptions'!$C$56:$G$62,MATCH('Assumption calculations'!$C55,'Detailed Assumptions'!$C$56:$C$62,0),MATCH('Assumption calculations'!H$52,'Detailed Assumptions'!$C$56:$G$56,0))*IF(INDEX('Detailed Assumptions'!$C$56:$G$62,MATCH('Assumption calculations'!$C55,'Detailed Assumptions'!$C$56:$C$62,0),MATCH('Assumption calculations'!H$52,'Detailed Assumptions'!$C$56:$G$56,0))&lt;=0,1,H$50)</f>
        <v>0.94</v>
      </c>
      <c r="I55" s="49">
        <f>1+INDEX($C$3:$H$9,MATCH($C55,$C$3:$C$9,0),MATCH(I$53,$C$3:$H$3,0))*INDEX('Detailed Assumptions'!$C$56:$G$62,MATCH('Assumption calculations'!$C55,'Detailed Assumptions'!$C$56:$C$62,0),MATCH('Assumption calculations'!I$52,'Detailed Assumptions'!$C$56:$G$56,0))*IF(INDEX('Detailed Assumptions'!$C$56:$G$62,MATCH('Assumption calculations'!$C55,'Detailed Assumptions'!$C$56:$C$62,0),MATCH('Assumption calculations'!I$52,'Detailed Assumptions'!$C$56:$G$56,0))&lt;=0,1,I$50)</f>
        <v>1</v>
      </c>
      <c r="J55" s="49">
        <f>1+INDEX($C$3:$H$9,MATCH($C55,$C$3:$C$9,0),MATCH(J$53,$C$3:$H$3,0))*INDEX('Detailed Assumptions'!$C$56:$G$62,MATCH('Assumption calculations'!$C55,'Detailed Assumptions'!$C$56:$C$62,0),MATCH('Assumption calculations'!J$52,'Detailed Assumptions'!$C$56:$G$56,0))*IF(INDEX('Detailed Assumptions'!$C$56:$G$62,MATCH('Assumption calculations'!$C55,'Detailed Assumptions'!$C$56:$C$62,0),MATCH('Assumption calculations'!J$52,'Detailed Assumptions'!$C$56:$G$56,0))&lt;=0,1,J$50)</f>
        <v>1</v>
      </c>
      <c r="K55" s="49">
        <f>1+INDEX($C$3:$H$9,MATCH($C55,$C$3:$C$9,0),MATCH(K$53,$C$3:$H$3,0))*INDEX('Detailed Assumptions'!$C$56:$G$62,MATCH('Assumption calculations'!$C55,'Detailed Assumptions'!$C$56:$C$62,0),MATCH('Assumption calculations'!K$52,'Detailed Assumptions'!$C$56:$G$56,0))*IF(INDEX('Detailed Assumptions'!$C$56:$G$62,MATCH('Assumption calculations'!$C55,'Detailed Assumptions'!$C$56:$C$62,0),MATCH('Assumption calculations'!K$52,'Detailed Assumptions'!$C$56:$G$56,0))&lt;=0,1,K$50)</f>
        <v>1</v>
      </c>
      <c r="L55" s="49">
        <f>1+INDEX($C$3:$H$9,MATCH($C55,$C$3:$C$9,0),MATCH(L$53,$C$3:$H$3,0))*INDEX('Detailed Assumptions'!$C$56:$G$62,MATCH('Assumption calculations'!$C55,'Detailed Assumptions'!$C$56:$C$62,0),MATCH('Assumption calculations'!L$52,'Detailed Assumptions'!$C$56:$G$56,0))*IF(INDEX('Detailed Assumptions'!$C$56:$G$62,MATCH('Assumption calculations'!$C55,'Detailed Assumptions'!$C$56:$C$62,0),MATCH('Assumption calculations'!L$52,'Detailed Assumptions'!$C$56:$G$56,0))&lt;=0,1,L$50)</f>
        <v>1</v>
      </c>
      <c r="M55" s="49">
        <f>1+INDEX($C$3:$H$9,MATCH($C55,$C$3:$C$9,0),MATCH(M$53,$C$3:$H$3,0))*INDEX('Detailed Assumptions'!$C$56:$G$62,MATCH('Assumption calculations'!$C55,'Detailed Assumptions'!$C$56:$C$62,0),MATCH('Assumption calculations'!M$52,'Detailed Assumptions'!$C$56:$G$56,0))*IF(INDEX('Detailed Assumptions'!$C$56:$G$62,MATCH('Assumption calculations'!$C55,'Detailed Assumptions'!$C$56:$C$62,0),MATCH('Assumption calculations'!M$52,'Detailed Assumptions'!$C$56:$G$56,0))&lt;=0,1,M$50)</f>
        <v>1</v>
      </c>
      <c r="N55" s="49">
        <f>1+INDEX($C$3:$H$9,MATCH($C55,$C$3:$C$9,0),MATCH(N$53,$C$3:$H$3,0))*INDEX('Detailed Assumptions'!$C$56:$G$62,MATCH('Assumption calculations'!$C55,'Detailed Assumptions'!$C$56:$C$62,0),MATCH('Assumption calculations'!N$52,'Detailed Assumptions'!$C$56:$G$56,0))*IF(INDEX('Detailed Assumptions'!$C$56:$G$62,MATCH('Assumption calculations'!$C55,'Detailed Assumptions'!$C$56:$C$62,0),MATCH('Assumption calculations'!N$52,'Detailed Assumptions'!$C$56:$G$56,0))&lt;=0,1,N$50)</f>
        <v>1</v>
      </c>
      <c r="O55" s="49">
        <f>1+INDEX($C$3:$H$9,MATCH($C55,$C$3:$C$9,0),MATCH(O$53,$C$3:$H$3,0))*INDEX('Detailed Assumptions'!$C$56:$G$62,MATCH('Assumption calculations'!$C55,'Detailed Assumptions'!$C$56:$C$62,0),MATCH('Assumption calculations'!O$52,'Detailed Assumptions'!$C$56:$G$56,0))*IF(INDEX('Detailed Assumptions'!$C$56:$G$62,MATCH('Assumption calculations'!$C55,'Detailed Assumptions'!$C$56:$C$62,0),MATCH('Assumption calculations'!O$52,'Detailed Assumptions'!$C$56:$G$56,0))&lt;=0,1,O$50)</f>
        <v>1</v>
      </c>
      <c r="P55" s="49">
        <f>1+INDEX($C$3:$H$9,MATCH($C55,$C$3:$C$9,0),MATCH(P$53,$C$3:$H$3,0))*INDEX('Detailed Assumptions'!$C$56:$G$62,MATCH('Assumption calculations'!$C55,'Detailed Assumptions'!$C$56:$C$62,0),MATCH('Assumption calculations'!P$52,'Detailed Assumptions'!$C$56:$G$56,0))*IF(INDEX('Detailed Assumptions'!$C$56:$G$62,MATCH('Assumption calculations'!$C55,'Detailed Assumptions'!$C$56:$C$62,0),MATCH('Assumption calculations'!P$52,'Detailed Assumptions'!$C$56:$G$56,0))&lt;=0,1,P$50)</f>
        <v>1</v>
      </c>
      <c r="Q55" s="49">
        <f>1+INDEX($C$3:$H$9,MATCH($C55,$C$3:$C$9,0),MATCH(Q$53,$C$3:$H$3,0))*INDEX('Detailed Assumptions'!$C$56:$G$62,MATCH('Assumption calculations'!$C55,'Detailed Assumptions'!$C$56:$C$62,0),MATCH('Assumption calculations'!Q$52,'Detailed Assumptions'!$C$56:$G$56,0))*IF(INDEX('Detailed Assumptions'!$C$56:$G$62,MATCH('Assumption calculations'!$C55,'Detailed Assumptions'!$C$56:$C$62,0),MATCH('Assumption calculations'!Q$52,'Detailed Assumptions'!$C$56:$G$56,0))&lt;=0,1,Q$50)</f>
        <v>1</v>
      </c>
      <c r="R55" s="49">
        <f>1+INDEX($C$3:$H$9,MATCH($C55,$C$3:$C$9,0),MATCH(R$53,$C$3:$H$3,0))*INDEX('Detailed Assumptions'!$C$56:$G$62,MATCH('Assumption calculations'!$C55,'Detailed Assumptions'!$C$56:$C$62,0),MATCH('Assumption calculations'!R$52,'Detailed Assumptions'!$C$56:$G$56,0))*IF(INDEX('Detailed Assumptions'!$C$56:$G$62,MATCH('Assumption calculations'!$C55,'Detailed Assumptions'!$C$56:$C$62,0),MATCH('Assumption calculations'!R$52,'Detailed Assumptions'!$C$56:$G$56,0))&lt;=0,1,R$50)</f>
        <v>1</v>
      </c>
      <c r="S55" s="49">
        <f>1+INDEX($C$3:$H$9,MATCH($C55,$C$3:$C$9,0),MATCH(S$53,$C$3:$H$3,0))*INDEX('Detailed Assumptions'!$C$56:$G$62,MATCH('Assumption calculations'!$C55,'Detailed Assumptions'!$C$56:$C$62,0),MATCH('Assumption calculations'!S$52,'Detailed Assumptions'!$C$56:$G$56,0))*IF(INDEX('Detailed Assumptions'!$C$56:$G$62,MATCH('Assumption calculations'!$C55,'Detailed Assumptions'!$C$56:$C$62,0),MATCH('Assumption calculations'!S$52,'Detailed Assumptions'!$C$56:$G$56,0))&lt;=0,1,S$50)</f>
        <v>1</v>
      </c>
      <c r="T55" s="49">
        <f>1+INDEX($C$3:$H$9,MATCH($C55,$C$3:$C$9,0),MATCH(T$53,$C$3:$H$3,0))*INDEX('Detailed Assumptions'!$C$56:$G$62,MATCH('Assumption calculations'!$C55,'Detailed Assumptions'!$C$56:$C$62,0),MATCH('Assumption calculations'!T$52,'Detailed Assumptions'!$C$56:$G$56,0))*IF(INDEX('Detailed Assumptions'!$C$56:$G$62,MATCH('Assumption calculations'!$C55,'Detailed Assumptions'!$C$56:$C$62,0),MATCH('Assumption calculations'!T$52,'Detailed Assumptions'!$C$56:$G$56,0))&lt;=0,1,T$50)</f>
        <v>1</v>
      </c>
      <c r="U55" s="49">
        <f>1+INDEX($C$3:$H$9,MATCH($C55,$C$3:$C$9,0),MATCH(U$53,$C$3:$H$3,0))*INDEX('Detailed Assumptions'!$C$56:$G$62,MATCH('Assumption calculations'!$C55,'Detailed Assumptions'!$C$56:$C$62,0),MATCH('Assumption calculations'!U$52,'Detailed Assumptions'!$C$56:$G$56,0))*IF(INDEX('Detailed Assumptions'!$C$56:$G$62,MATCH('Assumption calculations'!$C55,'Detailed Assumptions'!$C$56:$C$62,0),MATCH('Assumption calculations'!U$52,'Detailed Assumptions'!$C$56:$G$56,0))&lt;=0,1,U$50)</f>
        <v>1</v>
      </c>
      <c r="V55" s="49">
        <f>1+INDEX($C$3:$H$9,MATCH($C55,$C$3:$C$9,0),MATCH(V$53,$C$3:$H$3,0))*INDEX('Detailed Assumptions'!$C$56:$G$62,MATCH('Assumption calculations'!$C55,'Detailed Assumptions'!$C$56:$C$62,0),MATCH('Assumption calculations'!V$52,'Detailed Assumptions'!$C$56:$G$56,0))*IF(INDEX('Detailed Assumptions'!$C$56:$G$62,MATCH('Assumption calculations'!$C55,'Detailed Assumptions'!$C$56:$C$62,0),MATCH('Assumption calculations'!V$52,'Detailed Assumptions'!$C$56:$G$56,0))&lt;=0,1,V$50)</f>
        <v>1</v>
      </c>
      <c r="W55" s="49">
        <f>1+INDEX($C$3:$H$9,MATCH($C55,$C$3:$C$9,0),MATCH(W$53,$C$3:$H$3,0))*INDEX('Detailed Assumptions'!$C$56:$G$62,MATCH('Assumption calculations'!$C55,'Detailed Assumptions'!$C$56:$C$62,0),MATCH('Assumption calculations'!W$52,'Detailed Assumptions'!$C$56:$G$56,0))*IF(INDEX('Detailed Assumptions'!$C$56:$G$62,MATCH('Assumption calculations'!$C55,'Detailed Assumptions'!$C$56:$C$62,0),MATCH('Assumption calculations'!W$52,'Detailed Assumptions'!$C$56:$G$56,0))&lt;=0,1,W$50)</f>
        <v>1</v>
      </c>
    </row>
    <row r="56" spans="3:23" s="1" customFormat="1">
      <c r="C56" s="37" t="s">
        <v>135</v>
      </c>
      <c r="D56" s="49">
        <f>1+INDEX($C$3:$H$9,MATCH($C56,$C$3:$C$9,0),MATCH(D$53,$C$3:$H$3,0))*INDEX('Detailed Assumptions'!$C$56:$G$62,MATCH('Assumption calculations'!$C56,'Detailed Assumptions'!$C$56:$C$62,0),MATCH('Assumption calculations'!D$52,'Detailed Assumptions'!$C$56:$G$56,0))*IF(INDEX('Detailed Assumptions'!$C$56:$G$62,MATCH('Assumption calculations'!$C56,'Detailed Assumptions'!$C$56:$C$62,0),MATCH('Assumption calculations'!D$52,'Detailed Assumptions'!$C$56:$G$56,0))&lt;=0,1,D$50)</f>
        <v>1.0086266390614216</v>
      </c>
      <c r="E56" s="49">
        <f>1+INDEX($C$3:$H$9,MATCH($C56,$C$3:$C$9,0),MATCH(E$53,$C$3:$H$3,0))*INDEX('Detailed Assumptions'!$C$56:$G$62,MATCH('Assumption calculations'!$C56,'Detailed Assumptions'!$C$56:$C$62,0),MATCH('Assumption calculations'!E$52,'Detailed Assumptions'!$C$56:$G$56,0))*IF(INDEX('Detailed Assumptions'!$C$56:$G$62,MATCH('Assumption calculations'!$C56,'Detailed Assumptions'!$C$56:$C$62,0),MATCH('Assumption calculations'!E$52,'Detailed Assumptions'!$C$56:$G$56,0))&lt;=0,1,E$50)</f>
        <v>1.0138026224982746</v>
      </c>
      <c r="F56" s="49">
        <f>1+INDEX($C$3:$H$9,MATCH($C56,$C$3:$C$9,0),MATCH(F$53,$C$3:$H$3,0))*INDEX('Detailed Assumptions'!$C$56:$G$62,MATCH('Assumption calculations'!$C56,'Detailed Assumptions'!$C$56:$C$62,0),MATCH('Assumption calculations'!F$52,'Detailed Assumptions'!$C$56:$G$56,0))*IF(INDEX('Detailed Assumptions'!$C$56:$G$62,MATCH('Assumption calculations'!$C56,'Detailed Assumptions'!$C$56:$C$62,0),MATCH('Assumption calculations'!F$52,'Detailed Assumptions'!$C$56:$G$56,0))&lt;=0,1,F$50)</f>
        <v>1.0168219461697723</v>
      </c>
      <c r="G56" s="49">
        <f>1+INDEX($C$3:$H$9,MATCH($C56,$C$3:$C$9,0),MATCH(G$53,$C$3:$H$3,0))*INDEX('Detailed Assumptions'!$C$56:$G$62,MATCH('Assumption calculations'!$C56,'Detailed Assumptions'!$C$56:$C$62,0),MATCH('Assumption calculations'!G$52,'Detailed Assumptions'!$C$56:$G$56,0))*IF(INDEX('Detailed Assumptions'!$C$56:$G$62,MATCH('Assumption calculations'!$C56,'Detailed Assumptions'!$C$56:$C$62,0),MATCH('Assumption calculations'!G$52,'Detailed Assumptions'!$C$56:$G$56,0))&lt;=0,1,G$50)</f>
        <v>1.0189786059351276</v>
      </c>
      <c r="H56" s="49">
        <f>1+INDEX($C$3:$H$9,MATCH($C56,$C$3:$C$9,0),MATCH(H$53,$C$3:$H$3,0))*INDEX('Detailed Assumptions'!$C$56:$G$62,MATCH('Assumption calculations'!$C56,'Detailed Assumptions'!$C$56:$C$62,0),MATCH('Assumption calculations'!H$52,'Detailed Assumptions'!$C$56:$G$56,0))*IF(INDEX('Detailed Assumptions'!$C$56:$G$62,MATCH('Assumption calculations'!$C56,'Detailed Assumptions'!$C$56:$C$62,0),MATCH('Assumption calculations'!H$52,'Detailed Assumptions'!$C$56:$G$56,0))&lt;=0,1,H$50)</f>
        <v>1.0215665976535542</v>
      </c>
      <c r="I56" s="49">
        <f>1+INDEX($C$3:$H$9,MATCH($C56,$C$3:$C$9,0),MATCH(I$53,$C$3:$H$3,0))*INDEX('Detailed Assumptions'!$C$56:$G$62,MATCH('Assumption calculations'!$C56,'Detailed Assumptions'!$C$56:$C$62,0),MATCH('Assumption calculations'!I$52,'Detailed Assumptions'!$C$56:$G$56,0))*IF(INDEX('Detailed Assumptions'!$C$56:$G$62,MATCH('Assumption calculations'!$C56,'Detailed Assumptions'!$C$56:$C$62,0),MATCH('Assumption calculations'!I$52,'Detailed Assumptions'!$C$56:$G$56,0))&lt;=0,1,I$50)</f>
        <v>1.01875</v>
      </c>
      <c r="J56" s="49">
        <f>1+INDEX($C$3:$H$9,MATCH($C56,$C$3:$C$9,0),MATCH(J$53,$C$3:$H$3,0))*INDEX('Detailed Assumptions'!$C$56:$G$62,MATCH('Assumption calculations'!$C56,'Detailed Assumptions'!$C$56:$C$62,0),MATCH('Assumption calculations'!J$52,'Detailed Assumptions'!$C$56:$G$56,0))*IF(INDEX('Detailed Assumptions'!$C$56:$G$62,MATCH('Assumption calculations'!$C56,'Detailed Assumptions'!$C$56:$C$62,0),MATCH('Assumption calculations'!J$52,'Detailed Assumptions'!$C$56:$G$56,0))&lt;=0,1,J$50)</f>
        <v>1.0318750000000001</v>
      </c>
      <c r="K56" s="49">
        <f>1+INDEX($C$3:$H$9,MATCH($C56,$C$3:$C$9,0),MATCH(K$53,$C$3:$H$3,0))*INDEX('Detailed Assumptions'!$C$56:$G$62,MATCH('Assumption calculations'!$C56,'Detailed Assumptions'!$C$56:$C$62,0),MATCH('Assumption calculations'!K$52,'Detailed Assumptions'!$C$56:$G$56,0))*IF(INDEX('Detailed Assumptions'!$C$56:$G$62,MATCH('Assumption calculations'!$C56,'Detailed Assumptions'!$C$56:$C$62,0),MATCH('Assumption calculations'!K$52,'Detailed Assumptions'!$C$56:$G$56,0))&lt;=0,1,K$50)</f>
        <v>1.0421875</v>
      </c>
      <c r="L56" s="49">
        <f>1+INDEX($C$3:$H$9,MATCH($C56,$C$3:$C$9,0),MATCH(L$53,$C$3:$H$3,0))*INDEX('Detailed Assumptions'!$C$56:$G$62,MATCH('Assumption calculations'!$C56,'Detailed Assumptions'!$C$56:$C$62,0),MATCH('Assumption calculations'!L$52,'Detailed Assumptions'!$C$56:$G$56,0))*IF(INDEX('Detailed Assumptions'!$C$56:$G$62,MATCH('Assumption calculations'!$C56,'Detailed Assumptions'!$C$56:$C$62,0),MATCH('Assumption calculations'!L$52,'Detailed Assumptions'!$C$56:$G$56,0))&lt;=0,1,L$50)</f>
        <v>1.0525</v>
      </c>
      <c r="M56" s="49">
        <f>1+INDEX($C$3:$H$9,MATCH($C56,$C$3:$C$9,0),MATCH(M$53,$C$3:$H$3,0))*INDEX('Detailed Assumptions'!$C$56:$G$62,MATCH('Assumption calculations'!$C56,'Detailed Assumptions'!$C$56:$C$62,0),MATCH('Assumption calculations'!M$52,'Detailed Assumptions'!$C$56:$G$56,0))*IF(INDEX('Detailed Assumptions'!$C$56:$G$62,MATCH('Assumption calculations'!$C56,'Detailed Assumptions'!$C$56:$C$62,0),MATCH('Assumption calculations'!M$52,'Detailed Assumptions'!$C$56:$G$56,0))&lt;=0,1,M$50)</f>
        <v>1.0625</v>
      </c>
      <c r="N56" s="49">
        <f>1+INDEX($C$3:$H$9,MATCH($C56,$C$3:$C$9,0),MATCH(N$53,$C$3:$H$3,0))*INDEX('Detailed Assumptions'!$C$56:$G$62,MATCH('Assumption calculations'!$C56,'Detailed Assumptions'!$C$56:$C$62,0),MATCH('Assumption calculations'!N$52,'Detailed Assumptions'!$C$56:$G$56,0))*IF(INDEX('Detailed Assumptions'!$C$56:$G$62,MATCH('Assumption calculations'!$C56,'Detailed Assumptions'!$C$56:$C$62,0),MATCH('Assumption calculations'!N$52,'Detailed Assumptions'!$C$56:$G$56,0))&lt;=0,1,N$50)</f>
        <v>1</v>
      </c>
      <c r="O56" s="49">
        <f>1+INDEX($C$3:$H$9,MATCH($C56,$C$3:$C$9,0),MATCH(O$53,$C$3:$H$3,0))*INDEX('Detailed Assumptions'!$C$56:$G$62,MATCH('Assumption calculations'!$C56,'Detailed Assumptions'!$C$56:$C$62,0),MATCH('Assumption calculations'!O$52,'Detailed Assumptions'!$C$56:$G$56,0))*IF(INDEX('Detailed Assumptions'!$C$56:$G$62,MATCH('Assumption calculations'!$C56,'Detailed Assumptions'!$C$56:$C$62,0),MATCH('Assumption calculations'!O$52,'Detailed Assumptions'!$C$56:$G$56,0))&lt;=0,1,O$50)</f>
        <v>1</v>
      </c>
      <c r="P56" s="49">
        <f>1+INDEX($C$3:$H$9,MATCH($C56,$C$3:$C$9,0),MATCH(P$53,$C$3:$H$3,0))*INDEX('Detailed Assumptions'!$C$56:$G$62,MATCH('Assumption calculations'!$C56,'Detailed Assumptions'!$C$56:$C$62,0),MATCH('Assumption calculations'!P$52,'Detailed Assumptions'!$C$56:$G$56,0))*IF(INDEX('Detailed Assumptions'!$C$56:$G$62,MATCH('Assumption calculations'!$C56,'Detailed Assumptions'!$C$56:$C$62,0),MATCH('Assumption calculations'!P$52,'Detailed Assumptions'!$C$56:$G$56,0))&lt;=0,1,P$50)</f>
        <v>1</v>
      </c>
      <c r="Q56" s="49">
        <f>1+INDEX($C$3:$H$9,MATCH($C56,$C$3:$C$9,0),MATCH(Q$53,$C$3:$H$3,0))*INDEX('Detailed Assumptions'!$C$56:$G$62,MATCH('Assumption calculations'!$C56,'Detailed Assumptions'!$C$56:$C$62,0),MATCH('Assumption calculations'!Q$52,'Detailed Assumptions'!$C$56:$G$56,0))*IF(INDEX('Detailed Assumptions'!$C$56:$G$62,MATCH('Assumption calculations'!$C56,'Detailed Assumptions'!$C$56:$C$62,0),MATCH('Assumption calculations'!Q$52,'Detailed Assumptions'!$C$56:$G$56,0))&lt;=0,1,Q$50)</f>
        <v>1</v>
      </c>
      <c r="R56" s="49">
        <f>1+INDEX($C$3:$H$9,MATCH($C56,$C$3:$C$9,0),MATCH(R$53,$C$3:$H$3,0))*INDEX('Detailed Assumptions'!$C$56:$G$62,MATCH('Assumption calculations'!$C56,'Detailed Assumptions'!$C$56:$C$62,0),MATCH('Assumption calculations'!R$52,'Detailed Assumptions'!$C$56:$G$56,0))*IF(INDEX('Detailed Assumptions'!$C$56:$G$62,MATCH('Assumption calculations'!$C56,'Detailed Assumptions'!$C$56:$C$62,0),MATCH('Assumption calculations'!R$52,'Detailed Assumptions'!$C$56:$G$56,0))&lt;=0,1,R$50)</f>
        <v>1</v>
      </c>
      <c r="S56" s="49">
        <f>1+INDEX($C$3:$H$9,MATCH($C56,$C$3:$C$9,0),MATCH(S$53,$C$3:$H$3,0))*INDEX('Detailed Assumptions'!$C$56:$G$62,MATCH('Assumption calculations'!$C56,'Detailed Assumptions'!$C$56:$C$62,0),MATCH('Assumption calculations'!S$52,'Detailed Assumptions'!$C$56:$G$56,0))*IF(INDEX('Detailed Assumptions'!$C$56:$G$62,MATCH('Assumption calculations'!$C56,'Detailed Assumptions'!$C$56:$C$62,0),MATCH('Assumption calculations'!S$52,'Detailed Assumptions'!$C$56:$G$56,0))&lt;=0,1,S$50)</f>
        <v>0.995</v>
      </c>
      <c r="T56" s="49">
        <f>1+INDEX($C$3:$H$9,MATCH($C56,$C$3:$C$9,0),MATCH(T$53,$C$3:$H$3,0))*INDEX('Detailed Assumptions'!$C$56:$G$62,MATCH('Assumption calculations'!$C56,'Detailed Assumptions'!$C$56:$C$62,0),MATCH('Assumption calculations'!T$52,'Detailed Assumptions'!$C$56:$G$56,0))*IF(INDEX('Detailed Assumptions'!$C$56:$G$62,MATCH('Assumption calculations'!$C56,'Detailed Assumptions'!$C$56:$C$62,0),MATCH('Assumption calculations'!T$52,'Detailed Assumptions'!$C$56:$G$56,0))&lt;=0,1,T$50)</f>
        <v>0.99</v>
      </c>
      <c r="U56" s="49">
        <f>1+INDEX($C$3:$H$9,MATCH($C56,$C$3:$C$9,0),MATCH(U$53,$C$3:$H$3,0))*INDEX('Detailed Assumptions'!$C$56:$G$62,MATCH('Assumption calculations'!$C56,'Detailed Assumptions'!$C$56:$C$62,0),MATCH('Assumption calculations'!U$52,'Detailed Assumptions'!$C$56:$G$56,0))*IF(INDEX('Detailed Assumptions'!$C$56:$G$62,MATCH('Assumption calculations'!$C56,'Detailed Assumptions'!$C$56:$C$62,0),MATCH('Assumption calculations'!U$52,'Detailed Assumptions'!$C$56:$G$56,0))&lt;=0,1,U$50)</f>
        <v>0.98499999999999999</v>
      </c>
      <c r="V56" s="49">
        <f>1+INDEX($C$3:$H$9,MATCH($C56,$C$3:$C$9,0),MATCH(V$53,$C$3:$H$3,0))*INDEX('Detailed Assumptions'!$C$56:$G$62,MATCH('Assumption calculations'!$C56,'Detailed Assumptions'!$C$56:$C$62,0),MATCH('Assumption calculations'!V$52,'Detailed Assumptions'!$C$56:$G$56,0))*IF(INDEX('Detailed Assumptions'!$C$56:$G$62,MATCH('Assumption calculations'!$C56,'Detailed Assumptions'!$C$56:$C$62,0),MATCH('Assumption calculations'!V$52,'Detailed Assumptions'!$C$56:$G$56,0))&lt;=0,1,V$50)</f>
        <v>0.98</v>
      </c>
      <c r="W56" s="49">
        <f>1+INDEX($C$3:$H$9,MATCH($C56,$C$3:$C$9,0),MATCH(W$53,$C$3:$H$3,0))*INDEX('Detailed Assumptions'!$C$56:$G$62,MATCH('Assumption calculations'!$C56,'Detailed Assumptions'!$C$56:$C$62,0),MATCH('Assumption calculations'!W$52,'Detailed Assumptions'!$C$56:$G$56,0))*IF(INDEX('Detailed Assumptions'!$C$56:$G$62,MATCH('Assumption calculations'!$C56,'Detailed Assumptions'!$C$56:$C$62,0),MATCH('Assumption calculations'!W$52,'Detailed Assumptions'!$C$56:$G$56,0))&lt;=0,1,W$50)</f>
        <v>0.97499999999999998</v>
      </c>
    </row>
    <row r="57" spans="3:23" s="1" customFormat="1">
      <c r="C57" s="37" t="s">
        <v>13</v>
      </c>
      <c r="D57" s="49">
        <f>1+INDEX($C$3:$H$9,MATCH($C57,$C$3:$C$9,0),MATCH(D$53,$C$3:$H$3,0))*INDEX('Detailed Assumptions'!$C$56:$G$62,MATCH('Assumption calculations'!$C57,'Detailed Assumptions'!$C$56:$C$62,0),MATCH('Assumption calculations'!D$52,'Detailed Assumptions'!$C$56:$G$56,0))*IF(INDEX('Detailed Assumptions'!$C$56:$G$62,MATCH('Assumption calculations'!$C57,'Detailed Assumptions'!$C$56:$C$62,0),MATCH('Assumption calculations'!D$52,'Detailed Assumptions'!$C$56:$G$56,0))&lt;=0,1,D$50)</f>
        <v>1</v>
      </c>
      <c r="E57" s="49">
        <f>1+INDEX($C$3:$H$9,MATCH($C57,$C$3:$C$9,0),MATCH(E$53,$C$3:$H$3,0))*INDEX('Detailed Assumptions'!$C$56:$G$62,MATCH('Assumption calculations'!$C57,'Detailed Assumptions'!$C$56:$C$62,0),MATCH('Assumption calculations'!E$52,'Detailed Assumptions'!$C$56:$G$56,0))*IF(INDEX('Detailed Assumptions'!$C$56:$G$62,MATCH('Assumption calculations'!$C57,'Detailed Assumptions'!$C$56:$C$62,0),MATCH('Assumption calculations'!E$52,'Detailed Assumptions'!$C$56:$G$56,0))&lt;=0,1,E$50)</f>
        <v>1</v>
      </c>
      <c r="F57" s="49">
        <f>1+INDEX($C$3:$H$9,MATCH($C57,$C$3:$C$9,0),MATCH(F$53,$C$3:$H$3,0))*INDEX('Detailed Assumptions'!$C$56:$G$62,MATCH('Assumption calculations'!$C57,'Detailed Assumptions'!$C$56:$C$62,0),MATCH('Assumption calculations'!F$52,'Detailed Assumptions'!$C$56:$G$56,0))*IF(INDEX('Detailed Assumptions'!$C$56:$G$62,MATCH('Assumption calculations'!$C57,'Detailed Assumptions'!$C$56:$C$62,0),MATCH('Assumption calculations'!F$52,'Detailed Assumptions'!$C$56:$G$56,0))&lt;=0,1,F$50)</f>
        <v>1</v>
      </c>
      <c r="G57" s="49">
        <f>1+INDEX($C$3:$H$9,MATCH($C57,$C$3:$C$9,0),MATCH(G$53,$C$3:$H$3,0))*INDEX('Detailed Assumptions'!$C$56:$G$62,MATCH('Assumption calculations'!$C57,'Detailed Assumptions'!$C$56:$C$62,0),MATCH('Assumption calculations'!G$52,'Detailed Assumptions'!$C$56:$G$56,0))*IF(INDEX('Detailed Assumptions'!$C$56:$G$62,MATCH('Assumption calculations'!$C57,'Detailed Assumptions'!$C$56:$C$62,0),MATCH('Assumption calculations'!G$52,'Detailed Assumptions'!$C$56:$G$56,0))&lt;=0,1,G$50)</f>
        <v>1</v>
      </c>
      <c r="H57" s="49">
        <f>1+INDEX($C$3:$H$9,MATCH($C57,$C$3:$C$9,0),MATCH(H$53,$C$3:$H$3,0))*INDEX('Detailed Assumptions'!$C$56:$G$62,MATCH('Assumption calculations'!$C57,'Detailed Assumptions'!$C$56:$C$62,0),MATCH('Assumption calculations'!H$52,'Detailed Assumptions'!$C$56:$G$56,0))*IF(INDEX('Detailed Assumptions'!$C$56:$G$62,MATCH('Assumption calculations'!$C57,'Detailed Assumptions'!$C$56:$C$62,0),MATCH('Assumption calculations'!H$52,'Detailed Assumptions'!$C$56:$G$56,0))&lt;=0,1,H$50)</f>
        <v>1</v>
      </c>
      <c r="I57" s="49">
        <f>1+INDEX($C$3:$H$9,MATCH($C57,$C$3:$C$9,0),MATCH(I$53,$C$3:$H$3,0))*INDEX('Detailed Assumptions'!$C$56:$G$62,MATCH('Assumption calculations'!$C57,'Detailed Assumptions'!$C$56:$C$62,0),MATCH('Assumption calculations'!I$52,'Detailed Assumptions'!$C$56:$G$56,0))*IF(INDEX('Detailed Assumptions'!$C$56:$G$62,MATCH('Assumption calculations'!$C57,'Detailed Assumptions'!$C$56:$C$62,0),MATCH('Assumption calculations'!I$52,'Detailed Assumptions'!$C$56:$G$56,0))&lt;=0,1,I$50)</f>
        <v>1</v>
      </c>
      <c r="J57" s="49">
        <f>1+INDEX($C$3:$H$9,MATCH($C57,$C$3:$C$9,0),MATCH(J$53,$C$3:$H$3,0))*INDEX('Detailed Assumptions'!$C$56:$G$62,MATCH('Assumption calculations'!$C57,'Detailed Assumptions'!$C$56:$C$62,0),MATCH('Assumption calculations'!J$52,'Detailed Assumptions'!$C$56:$G$56,0))*IF(INDEX('Detailed Assumptions'!$C$56:$G$62,MATCH('Assumption calculations'!$C57,'Detailed Assumptions'!$C$56:$C$62,0),MATCH('Assumption calculations'!J$52,'Detailed Assumptions'!$C$56:$G$56,0))&lt;=0,1,J$50)</f>
        <v>1</v>
      </c>
      <c r="K57" s="49">
        <f>1+INDEX($C$3:$H$9,MATCH($C57,$C$3:$C$9,0),MATCH(K$53,$C$3:$H$3,0))*INDEX('Detailed Assumptions'!$C$56:$G$62,MATCH('Assumption calculations'!$C57,'Detailed Assumptions'!$C$56:$C$62,0),MATCH('Assumption calculations'!K$52,'Detailed Assumptions'!$C$56:$G$56,0))*IF(INDEX('Detailed Assumptions'!$C$56:$G$62,MATCH('Assumption calculations'!$C57,'Detailed Assumptions'!$C$56:$C$62,0),MATCH('Assumption calculations'!K$52,'Detailed Assumptions'!$C$56:$G$56,0))&lt;=0,1,K$50)</f>
        <v>1</v>
      </c>
      <c r="L57" s="49">
        <f>1+INDEX($C$3:$H$9,MATCH($C57,$C$3:$C$9,0),MATCH(L$53,$C$3:$H$3,0))*INDEX('Detailed Assumptions'!$C$56:$G$62,MATCH('Assumption calculations'!$C57,'Detailed Assumptions'!$C$56:$C$62,0),MATCH('Assumption calculations'!L$52,'Detailed Assumptions'!$C$56:$G$56,0))*IF(INDEX('Detailed Assumptions'!$C$56:$G$62,MATCH('Assumption calculations'!$C57,'Detailed Assumptions'!$C$56:$C$62,0),MATCH('Assumption calculations'!L$52,'Detailed Assumptions'!$C$56:$G$56,0))&lt;=0,1,L$50)</f>
        <v>1.0060386473429952</v>
      </c>
      <c r="M57" s="49">
        <f>1+INDEX($C$3:$H$9,MATCH($C57,$C$3:$C$9,0),MATCH(M$53,$C$3:$H$3,0))*INDEX('Detailed Assumptions'!$C$56:$G$62,MATCH('Assumption calculations'!$C57,'Detailed Assumptions'!$C$56:$C$62,0),MATCH('Assumption calculations'!M$52,'Detailed Assumptions'!$C$56:$G$56,0))*IF(INDEX('Detailed Assumptions'!$C$56:$G$62,MATCH('Assumption calculations'!$C57,'Detailed Assumptions'!$C$56:$C$62,0),MATCH('Assumption calculations'!M$52,'Detailed Assumptions'!$C$56:$G$56,0))&lt;=0,1,M$50)</f>
        <v>1.0230043708304577</v>
      </c>
      <c r="N57" s="49">
        <f>1+INDEX($C$3:$H$9,MATCH($C57,$C$3:$C$9,0),MATCH(N$53,$C$3:$H$3,0))*INDEX('Detailed Assumptions'!$C$56:$G$62,MATCH('Assumption calculations'!$C57,'Detailed Assumptions'!$C$56:$C$62,0),MATCH('Assumption calculations'!N$52,'Detailed Assumptions'!$C$56:$G$56,0))*IF(INDEX('Detailed Assumptions'!$C$56:$G$62,MATCH('Assumption calculations'!$C57,'Detailed Assumptions'!$C$56:$C$62,0),MATCH('Assumption calculations'!N$52,'Detailed Assumptions'!$C$56:$G$56,0))&lt;=0,1,N$50)</f>
        <v>1</v>
      </c>
      <c r="O57" s="49">
        <f>1+INDEX($C$3:$H$9,MATCH($C57,$C$3:$C$9,0),MATCH(O$53,$C$3:$H$3,0))*INDEX('Detailed Assumptions'!$C$56:$G$62,MATCH('Assumption calculations'!$C57,'Detailed Assumptions'!$C$56:$C$62,0),MATCH('Assumption calculations'!O$52,'Detailed Assumptions'!$C$56:$G$56,0))*IF(INDEX('Detailed Assumptions'!$C$56:$G$62,MATCH('Assumption calculations'!$C57,'Detailed Assumptions'!$C$56:$C$62,0),MATCH('Assumption calculations'!O$52,'Detailed Assumptions'!$C$56:$G$56,0))&lt;=0,1,O$50)</f>
        <v>1</v>
      </c>
      <c r="P57" s="49">
        <f>1+INDEX($C$3:$H$9,MATCH($C57,$C$3:$C$9,0),MATCH(P$53,$C$3:$H$3,0))*INDEX('Detailed Assumptions'!$C$56:$G$62,MATCH('Assumption calculations'!$C57,'Detailed Assumptions'!$C$56:$C$62,0),MATCH('Assumption calculations'!P$52,'Detailed Assumptions'!$C$56:$G$56,0))*IF(INDEX('Detailed Assumptions'!$C$56:$G$62,MATCH('Assumption calculations'!$C57,'Detailed Assumptions'!$C$56:$C$62,0),MATCH('Assumption calculations'!P$52,'Detailed Assumptions'!$C$56:$G$56,0))&lt;=0,1,P$50)</f>
        <v>1</v>
      </c>
      <c r="Q57" s="49">
        <f>1+INDEX($C$3:$H$9,MATCH($C57,$C$3:$C$9,0),MATCH(Q$53,$C$3:$H$3,0))*INDEX('Detailed Assumptions'!$C$56:$G$62,MATCH('Assumption calculations'!$C57,'Detailed Assumptions'!$C$56:$C$62,0),MATCH('Assumption calculations'!Q$52,'Detailed Assumptions'!$C$56:$G$56,0))*IF(INDEX('Detailed Assumptions'!$C$56:$G$62,MATCH('Assumption calculations'!$C57,'Detailed Assumptions'!$C$56:$C$62,0),MATCH('Assumption calculations'!Q$52,'Detailed Assumptions'!$C$56:$G$56,0))&lt;=0,1,Q$50)</f>
        <v>1.0060386473429952</v>
      </c>
      <c r="R57" s="49">
        <f>1+INDEX($C$3:$H$9,MATCH($C57,$C$3:$C$9,0),MATCH(R$53,$C$3:$H$3,0))*INDEX('Detailed Assumptions'!$C$56:$G$62,MATCH('Assumption calculations'!$C57,'Detailed Assumptions'!$C$56:$C$62,0),MATCH('Assumption calculations'!R$52,'Detailed Assumptions'!$C$56:$G$56,0))*IF(INDEX('Detailed Assumptions'!$C$56:$G$62,MATCH('Assumption calculations'!$C57,'Detailed Assumptions'!$C$56:$C$62,0),MATCH('Assumption calculations'!R$52,'Detailed Assumptions'!$C$56:$G$56,0))&lt;=0,1,R$50)</f>
        <v>1.0230043708304577</v>
      </c>
      <c r="S57" s="49">
        <f>1+INDEX($C$3:$H$9,MATCH($C57,$C$3:$C$9,0),MATCH(S$53,$C$3:$H$3,0))*INDEX('Detailed Assumptions'!$C$56:$G$62,MATCH('Assumption calculations'!$C57,'Detailed Assumptions'!$C$56:$C$62,0),MATCH('Assumption calculations'!S$52,'Detailed Assumptions'!$C$56:$G$56,0))*IF(INDEX('Detailed Assumptions'!$C$56:$G$62,MATCH('Assumption calculations'!$C57,'Detailed Assumptions'!$C$56:$C$62,0),MATCH('Assumption calculations'!S$52,'Detailed Assumptions'!$C$56:$G$56,0))&lt;=0,1,S$50)</f>
        <v>1</v>
      </c>
      <c r="T57" s="49">
        <f>1+INDEX($C$3:$H$9,MATCH($C57,$C$3:$C$9,0),MATCH(T$53,$C$3:$H$3,0))*INDEX('Detailed Assumptions'!$C$56:$G$62,MATCH('Assumption calculations'!$C57,'Detailed Assumptions'!$C$56:$C$62,0),MATCH('Assumption calculations'!T$52,'Detailed Assumptions'!$C$56:$G$56,0))*IF(INDEX('Detailed Assumptions'!$C$56:$G$62,MATCH('Assumption calculations'!$C57,'Detailed Assumptions'!$C$56:$C$62,0),MATCH('Assumption calculations'!T$52,'Detailed Assumptions'!$C$56:$G$56,0))&lt;=0,1,T$50)</f>
        <v>1</v>
      </c>
      <c r="U57" s="49">
        <f>1+INDEX($C$3:$H$9,MATCH($C57,$C$3:$C$9,0),MATCH(U$53,$C$3:$H$3,0))*INDEX('Detailed Assumptions'!$C$56:$G$62,MATCH('Assumption calculations'!$C57,'Detailed Assumptions'!$C$56:$C$62,0),MATCH('Assumption calculations'!U$52,'Detailed Assumptions'!$C$56:$G$56,0))*IF(INDEX('Detailed Assumptions'!$C$56:$G$62,MATCH('Assumption calculations'!$C57,'Detailed Assumptions'!$C$56:$C$62,0),MATCH('Assumption calculations'!U$52,'Detailed Assumptions'!$C$56:$G$56,0))&lt;=0,1,U$50)</f>
        <v>1</v>
      </c>
      <c r="V57" s="49">
        <f>1+INDEX($C$3:$H$9,MATCH($C57,$C$3:$C$9,0),MATCH(V$53,$C$3:$H$3,0))*INDEX('Detailed Assumptions'!$C$56:$G$62,MATCH('Assumption calculations'!$C57,'Detailed Assumptions'!$C$56:$C$62,0),MATCH('Assumption calculations'!V$52,'Detailed Assumptions'!$C$56:$G$56,0))*IF(INDEX('Detailed Assumptions'!$C$56:$G$62,MATCH('Assumption calculations'!$C57,'Detailed Assumptions'!$C$56:$C$62,0),MATCH('Assumption calculations'!V$52,'Detailed Assumptions'!$C$56:$G$56,0))&lt;=0,1,V$50)</f>
        <v>0.995</v>
      </c>
      <c r="W57" s="49">
        <f>1+INDEX($C$3:$H$9,MATCH($C57,$C$3:$C$9,0),MATCH(W$53,$C$3:$H$3,0))*INDEX('Detailed Assumptions'!$C$56:$G$62,MATCH('Assumption calculations'!$C57,'Detailed Assumptions'!$C$56:$C$62,0),MATCH('Assumption calculations'!W$52,'Detailed Assumptions'!$C$56:$G$56,0))*IF(INDEX('Detailed Assumptions'!$C$56:$G$62,MATCH('Assumption calculations'!$C57,'Detailed Assumptions'!$C$56:$C$62,0),MATCH('Assumption calculations'!W$52,'Detailed Assumptions'!$C$56:$G$56,0))&lt;=0,1,W$50)</f>
        <v>0.98</v>
      </c>
    </row>
    <row r="58" spans="3:23" s="1" customFormat="1">
      <c r="C58" s="37" t="s">
        <v>14</v>
      </c>
      <c r="D58" s="49">
        <f>1+INDEX($C$3:$H$9,MATCH($C58,$C$3:$C$9,0),MATCH(D$53,$C$3:$H$3,0))*INDEX('Detailed Assumptions'!$C$56:$G$62,MATCH('Assumption calculations'!$C58,'Detailed Assumptions'!$C$56:$C$62,0),MATCH('Assumption calculations'!D$52,'Detailed Assumptions'!$C$56:$G$56,0))*IF(INDEX('Detailed Assumptions'!$C$56:$G$62,MATCH('Assumption calculations'!$C58,'Detailed Assumptions'!$C$56:$C$62,0),MATCH('Assumption calculations'!D$52,'Detailed Assumptions'!$C$56:$G$56,0))&lt;=0,1,D$50)</f>
        <v>1</v>
      </c>
      <c r="E58" s="49">
        <f>1+INDEX($C$3:$H$9,MATCH($C58,$C$3:$C$9,0),MATCH(E$53,$C$3:$H$3,0))*INDEX('Detailed Assumptions'!$C$56:$G$62,MATCH('Assumption calculations'!$C58,'Detailed Assumptions'!$C$56:$C$62,0),MATCH('Assumption calculations'!E$52,'Detailed Assumptions'!$C$56:$G$56,0))*IF(INDEX('Detailed Assumptions'!$C$56:$G$62,MATCH('Assumption calculations'!$C58,'Detailed Assumptions'!$C$56:$C$62,0),MATCH('Assumption calculations'!E$52,'Detailed Assumptions'!$C$56:$G$56,0))&lt;=0,1,E$50)</f>
        <v>1</v>
      </c>
      <c r="F58" s="49">
        <f>1+INDEX($C$3:$H$9,MATCH($C58,$C$3:$C$9,0),MATCH(F$53,$C$3:$H$3,0))*INDEX('Detailed Assumptions'!$C$56:$G$62,MATCH('Assumption calculations'!$C58,'Detailed Assumptions'!$C$56:$C$62,0),MATCH('Assumption calculations'!F$52,'Detailed Assumptions'!$C$56:$G$56,0))*IF(INDEX('Detailed Assumptions'!$C$56:$G$62,MATCH('Assumption calculations'!$C58,'Detailed Assumptions'!$C$56:$C$62,0),MATCH('Assumption calculations'!F$52,'Detailed Assumptions'!$C$56:$G$56,0))&lt;=0,1,F$50)</f>
        <v>1.0028036576949619</v>
      </c>
      <c r="G58" s="49">
        <f>1+INDEX($C$3:$H$9,MATCH($C58,$C$3:$C$9,0),MATCH(G$53,$C$3:$H$3,0))*INDEX('Detailed Assumptions'!$C$56:$G$62,MATCH('Assumption calculations'!$C58,'Detailed Assumptions'!$C$56:$C$62,0),MATCH('Assumption calculations'!G$52,'Detailed Assumptions'!$C$56:$G$56,0))*IF(INDEX('Detailed Assumptions'!$C$56:$G$62,MATCH('Assumption calculations'!$C58,'Detailed Assumptions'!$C$56:$C$62,0),MATCH('Assumption calculations'!G$52,'Detailed Assumptions'!$C$56:$G$56,0))&lt;=0,1,G$50)</f>
        <v>1.0047446514837819</v>
      </c>
      <c r="H58" s="49">
        <f>1+INDEX($C$3:$H$9,MATCH($C58,$C$3:$C$9,0),MATCH(H$53,$C$3:$H$3,0))*INDEX('Detailed Assumptions'!$C$56:$G$62,MATCH('Assumption calculations'!$C58,'Detailed Assumptions'!$C$56:$C$62,0),MATCH('Assumption calculations'!H$52,'Detailed Assumptions'!$C$56:$G$56,0))*IF(INDEX('Detailed Assumptions'!$C$56:$G$62,MATCH('Assumption calculations'!$C58,'Detailed Assumptions'!$C$56:$C$62,0),MATCH('Assumption calculations'!H$52,'Detailed Assumptions'!$C$56:$G$56,0))&lt;=0,1,H$50)</f>
        <v>1.0064699792960663</v>
      </c>
      <c r="I58" s="49">
        <f>1+INDEX($C$3:$H$9,MATCH($C58,$C$3:$C$9,0),MATCH(I$53,$C$3:$H$3,0))*INDEX('Detailed Assumptions'!$C$56:$G$62,MATCH('Assumption calculations'!$C58,'Detailed Assumptions'!$C$56:$C$62,0),MATCH('Assumption calculations'!I$52,'Detailed Assumptions'!$C$56:$G$56,0))*IF(INDEX('Detailed Assumptions'!$C$56:$G$62,MATCH('Assumption calculations'!$C58,'Detailed Assumptions'!$C$56:$C$62,0),MATCH('Assumption calculations'!I$52,'Detailed Assumptions'!$C$56:$G$56,0))&lt;=0,1,I$50)</f>
        <v>1</v>
      </c>
      <c r="J58" s="49">
        <f>1+INDEX($C$3:$H$9,MATCH($C58,$C$3:$C$9,0),MATCH(J$53,$C$3:$H$3,0))*INDEX('Detailed Assumptions'!$C$56:$G$62,MATCH('Assumption calculations'!$C58,'Detailed Assumptions'!$C$56:$C$62,0),MATCH('Assumption calculations'!J$52,'Detailed Assumptions'!$C$56:$G$56,0))*IF(INDEX('Detailed Assumptions'!$C$56:$G$62,MATCH('Assumption calculations'!$C58,'Detailed Assumptions'!$C$56:$C$62,0),MATCH('Assumption calculations'!J$52,'Detailed Assumptions'!$C$56:$G$56,0))&lt;=0,1,J$50)</f>
        <v>1</v>
      </c>
      <c r="K58" s="49">
        <f>1+INDEX($C$3:$H$9,MATCH($C58,$C$3:$C$9,0),MATCH(K$53,$C$3:$H$3,0))*INDEX('Detailed Assumptions'!$C$56:$G$62,MATCH('Assumption calculations'!$C58,'Detailed Assumptions'!$C$56:$C$62,0),MATCH('Assumption calculations'!K$52,'Detailed Assumptions'!$C$56:$G$56,0))*IF(INDEX('Detailed Assumptions'!$C$56:$G$62,MATCH('Assumption calculations'!$C58,'Detailed Assumptions'!$C$56:$C$62,0),MATCH('Assumption calculations'!K$52,'Detailed Assumptions'!$C$56:$G$56,0))&lt;=0,1,K$50)</f>
        <v>1.0142339544513457</v>
      </c>
      <c r="L58" s="49">
        <f>1+INDEX($C$3:$H$9,MATCH($C58,$C$3:$C$9,0),MATCH(L$53,$C$3:$H$3,0))*INDEX('Detailed Assumptions'!$C$56:$G$62,MATCH('Assumption calculations'!$C58,'Detailed Assumptions'!$C$56:$C$62,0),MATCH('Assumption calculations'!L$52,'Detailed Assumptions'!$C$56:$G$56,0))*IF(INDEX('Detailed Assumptions'!$C$56:$G$62,MATCH('Assumption calculations'!$C58,'Detailed Assumptions'!$C$56:$C$62,0),MATCH('Assumption calculations'!L$52,'Detailed Assumptions'!$C$56:$G$56,0))&lt;=0,1,L$50)</f>
        <v>1.0265700483091786</v>
      </c>
      <c r="M58" s="49">
        <f>1+INDEX($C$3:$H$9,MATCH($C58,$C$3:$C$9,0),MATCH(M$53,$C$3:$H$3,0))*INDEX('Detailed Assumptions'!$C$56:$G$62,MATCH('Assumption calculations'!$C58,'Detailed Assumptions'!$C$56:$C$62,0),MATCH('Assumption calculations'!M$52,'Detailed Assumptions'!$C$56:$G$56,0))*IF(INDEX('Detailed Assumptions'!$C$56:$G$62,MATCH('Assumption calculations'!$C58,'Detailed Assumptions'!$C$56:$C$62,0),MATCH('Assumption calculations'!M$52,'Detailed Assumptions'!$C$56:$G$56,0))&lt;=0,1,M$50)</f>
        <v>1.0379572118702554</v>
      </c>
      <c r="N58" s="49">
        <f>1+INDEX($C$3:$H$9,MATCH($C58,$C$3:$C$9,0),MATCH(N$53,$C$3:$H$3,0))*INDEX('Detailed Assumptions'!$C$56:$G$62,MATCH('Assumption calculations'!$C58,'Detailed Assumptions'!$C$56:$C$62,0),MATCH('Assumption calculations'!N$52,'Detailed Assumptions'!$C$56:$G$56,0))*IF(INDEX('Detailed Assumptions'!$C$56:$G$62,MATCH('Assumption calculations'!$C58,'Detailed Assumptions'!$C$56:$C$62,0),MATCH('Assumption calculations'!N$52,'Detailed Assumptions'!$C$56:$G$56,0))&lt;=0,1,N$50)</f>
        <v>1</v>
      </c>
      <c r="O58" s="49">
        <f>1+INDEX($C$3:$H$9,MATCH($C58,$C$3:$C$9,0),MATCH(O$53,$C$3:$H$3,0))*INDEX('Detailed Assumptions'!$C$56:$G$62,MATCH('Assumption calculations'!$C58,'Detailed Assumptions'!$C$56:$C$62,0),MATCH('Assumption calculations'!O$52,'Detailed Assumptions'!$C$56:$G$56,0))*IF(INDEX('Detailed Assumptions'!$C$56:$G$62,MATCH('Assumption calculations'!$C58,'Detailed Assumptions'!$C$56:$C$62,0),MATCH('Assumption calculations'!O$52,'Detailed Assumptions'!$C$56:$G$56,0))&lt;=0,1,O$50)</f>
        <v>1</v>
      </c>
      <c r="P58" s="49">
        <f>1+INDEX($C$3:$H$9,MATCH($C58,$C$3:$C$9,0),MATCH(P$53,$C$3:$H$3,0))*INDEX('Detailed Assumptions'!$C$56:$G$62,MATCH('Assumption calculations'!$C58,'Detailed Assumptions'!$C$56:$C$62,0),MATCH('Assumption calculations'!P$52,'Detailed Assumptions'!$C$56:$G$56,0))*IF(INDEX('Detailed Assumptions'!$C$56:$G$62,MATCH('Assumption calculations'!$C58,'Detailed Assumptions'!$C$56:$C$62,0),MATCH('Assumption calculations'!P$52,'Detailed Assumptions'!$C$56:$G$56,0))&lt;=0,1,P$50)</f>
        <v>1.0142339544513457</v>
      </c>
      <c r="Q58" s="49">
        <f>1+INDEX($C$3:$H$9,MATCH($C58,$C$3:$C$9,0),MATCH(Q$53,$C$3:$H$3,0))*INDEX('Detailed Assumptions'!$C$56:$G$62,MATCH('Assumption calculations'!$C58,'Detailed Assumptions'!$C$56:$C$62,0),MATCH('Assumption calculations'!Q$52,'Detailed Assumptions'!$C$56:$G$56,0))*IF(INDEX('Detailed Assumptions'!$C$56:$G$62,MATCH('Assumption calculations'!$C58,'Detailed Assumptions'!$C$56:$C$62,0),MATCH('Assumption calculations'!Q$52,'Detailed Assumptions'!$C$56:$G$56,0))&lt;=0,1,Q$50)</f>
        <v>1.0265700483091786</v>
      </c>
      <c r="R58" s="49">
        <f>1+INDEX($C$3:$H$9,MATCH($C58,$C$3:$C$9,0),MATCH(R$53,$C$3:$H$3,0))*INDEX('Detailed Assumptions'!$C$56:$G$62,MATCH('Assumption calculations'!$C58,'Detailed Assumptions'!$C$56:$C$62,0),MATCH('Assumption calculations'!R$52,'Detailed Assumptions'!$C$56:$G$56,0))*IF(INDEX('Detailed Assumptions'!$C$56:$G$62,MATCH('Assumption calculations'!$C58,'Detailed Assumptions'!$C$56:$C$62,0),MATCH('Assumption calculations'!R$52,'Detailed Assumptions'!$C$56:$G$56,0))&lt;=0,1,R$50)</f>
        <v>1.0379572118702554</v>
      </c>
      <c r="S58" s="49">
        <f>1+INDEX($C$3:$H$9,MATCH($C58,$C$3:$C$9,0),MATCH(S$53,$C$3:$H$3,0))*INDEX('Detailed Assumptions'!$C$56:$G$62,MATCH('Assumption calculations'!$C58,'Detailed Assumptions'!$C$56:$C$62,0),MATCH('Assumption calculations'!S$52,'Detailed Assumptions'!$C$56:$G$56,0))*IF(INDEX('Detailed Assumptions'!$C$56:$G$62,MATCH('Assumption calculations'!$C58,'Detailed Assumptions'!$C$56:$C$62,0),MATCH('Assumption calculations'!S$52,'Detailed Assumptions'!$C$56:$G$56,0))&lt;=0,1,S$50)</f>
        <v>1</v>
      </c>
      <c r="T58" s="49">
        <f>1+INDEX($C$3:$H$9,MATCH($C58,$C$3:$C$9,0),MATCH(T$53,$C$3:$H$3,0))*INDEX('Detailed Assumptions'!$C$56:$G$62,MATCH('Assumption calculations'!$C58,'Detailed Assumptions'!$C$56:$C$62,0),MATCH('Assumption calculations'!T$52,'Detailed Assumptions'!$C$56:$G$56,0))*IF(INDEX('Detailed Assumptions'!$C$56:$G$62,MATCH('Assumption calculations'!$C58,'Detailed Assumptions'!$C$56:$C$62,0),MATCH('Assumption calculations'!T$52,'Detailed Assumptions'!$C$56:$G$56,0))&lt;=0,1,T$50)</f>
        <v>1</v>
      </c>
      <c r="U58" s="49">
        <f>1+INDEX($C$3:$H$9,MATCH($C58,$C$3:$C$9,0),MATCH(U$53,$C$3:$H$3,0))*INDEX('Detailed Assumptions'!$C$56:$G$62,MATCH('Assumption calculations'!$C58,'Detailed Assumptions'!$C$56:$C$62,0),MATCH('Assumption calculations'!U$52,'Detailed Assumptions'!$C$56:$G$56,0))*IF(INDEX('Detailed Assumptions'!$C$56:$G$62,MATCH('Assumption calculations'!$C58,'Detailed Assumptions'!$C$56:$C$62,0),MATCH('Assumption calculations'!U$52,'Detailed Assumptions'!$C$56:$G$56,0))&lt;=0,1,U$50)</f>
        <v>0.995</v>
      </c>
      <c r="V58" s="49">
        <f>1+INDEX($C$3:$H$9,MATCH($C58,$C$3:$C$9,0),MATCH(V$53,$C$3:$H$3,0))*INDEX('Detailed Assumptions'!$C$56:$G$62,MATCH('Assumption calculations'!$C58,'Detailed Assumptions'!$C$56:$C$62,0),MATCH('Assumption calculations'!V$52,'Detailed Assumptions'!$C$56:$G$56,0))*IF(INDEX('Detailed Assumptions'!$C$56:$G$62,MATCH('Assumption calculations'!$C58,'Detailed Assumptions'!$C$56:$C$62,0),MATCH('Assumption calculations'!V$52,'Detailed Assumptions'!$C$56:$G$56,0))&lt;=0,1,V$50)</f>
        <v>0.99</v>
      </c>
      <c r="W58" s="49">
        <f>1+INDEX($C$3:$H$9,MATCH($C58,$C$3:$C$9,0),MATCH(W$53,$C$3:$H$3,0))*INDEX('Detailed Assumptions'!$C$56:$G$62,MATCH('Assumption calculations'!$C58,'Detailed Assumptions'!$C$56:$C$62,0),MATCH('Assumption calculations'!W$52,'Detailed Assumptions'!$C$56:$G$56,0))*IF(INDEX('Detailed Assumptions'!$C$56:$G$62,MATCH('Assumption calculations'!$C58,'Detailed Assumptions'!$C$56:$C$62,0),MATCH('Assumption calculations'!W$52,'Detailed Assumptions'!$C$56:$G$56,0))&lt;=0,1,W$50)</f>
        <v>0.98499999999999999</v>
      </c>
    </row>
    <row r="59" spans="3:23" s="1" customFormat="1">
      <c r="C59" s="37" t="s">
        <v>15</v>
      </c>
      <c r="D59" s="49">
        <f>1+INDEX($C$3:$H$9,MATCH($C59,$C$3:$C$9,0),MATCH(D$53,$C$3:$H$3,0))*INDEX('Detailed Assumptions'!$C$56:$G$62,MATCH('Assumption calculations'!$C59,'Detailed Assumptions'!$C$56:$C$62,0),MATCH('Assumption calculations'!D$52,'Detailed Assumptions'!$C$56:$G$56,0))*IF(INDEX('Detailed Assumptions'!$C$56:$G$62,MATCH('Assumption calculations'!$C59,'Detailed Assumptions'!$C$56:$C$62,0),MATCH('Assumption calculations'!D$52,'Detailed Assumptions'!$C$56:$G$56,0))&lt;=0,1,D$50)</f>
        <v>1</v>
      </c>
      <c r="E59" s="49">
        <f>1+INDEX($C$3:$H$9,MATCH($C59,$C$3:$C$9,0),MATCH(E$53,$C$3:$H$3,0))*INDEX('Detailed Assumptions'!$C$56:$G$62,MATCH('Assumption calculations'!$C59,'Detailed Assumptions'!$C$56:$C$62,0),MATCH('Assumption calculations'!E$52,'Detailed Assumptions'!$C$56:$G$56,0))*IF(INDEX('Detailed Assumptions'!$C$56:$G$62,MATCH('Assumption calculations'!$C59,'Detailed Assumptions'!$C$56:$C$62,0),MATCH('Assumption calculations'!E$52,'Detailed Assumptions'!$C$56:$G$56,0))&lt;=0,1,E$50)</f>
        <v>1</v>
      </c>
      <c r="F59" s="49">
        <f>1+INDEX($C$3:$H$9,MATCH($C59,$C$3:$C$9,0),MATCH(F$53,$C$3:$H$3,0))*INDEX('Detailed Assumptions'!$C$56:$G$62,MATCH('Assumption calculations'!$C59,'Detailed Assumptions'!$C$56:$C$62,0),MATCH('Assumption calculations'!F$52,'Detailed Assumptions'!$C$56:$G$56,0))*IF(INDEX('Detailed Assumptions'!$C$56:$G$62,MATCH('Assumption calculations'!$C59,'Detailed Assumptions'!$C$56:$C$62,0),MATCH('Assumption calculations'!F$52,'Detailed Assumptions'!$C$56:$G$56,0))&lt;=0,1,F$50)</f>
        <v>1</v>
      </c>
      <c r="G59" s="49">
        <f>1+INDEX($C$3:$H$9,MATCH($C59,$C$3:$C$9,0),MATCH(G$53,$C$3:$H$3,0))*INDEX('Detailed Assumptions'!$C$56:$G$62,MATCH('Assumption calculations'!$C59,'Detailed Assumptions'!$C$56:$C$62,0),MATCH('Assumption calculations'!G$52,'Detailed Assumptions'!$C$56:$G$56,0))*IF(INDEX('Detailed Assumptions'!$C$56:$G$62,MATCH('Assumption calculations'!$C59,'Detailed Assumptions'!$C$56:$C$62,0),MATCH('Assumption calculations'!G$52,'Detailed Assumptions'!$C$56:$G$56,0))&lt;=0,1,G$50)</f>
        <v>1</v>
      </c>
      <c r="H59" s="49">
        <f>1+INDEX($C$3:$H$9,MATCH($C59,$C$3:$C$9,0),MATCH(H$53,$C$3:$H$3,0))*INDEX('Detailed Assumptions'!$C$56:$G$62,MATCH('Assumption calculations'!$C59,'Detailed Assumptions'!$C$56:$C$62,0),MATCH('Assumption calculations'!H$52,'Detailed Assumptions'!$C$56:$G$56,0))*IF(INDEX('Detailed Assumptions'!$C$56:$G$62,MATCH('Assumption calculations'!$C59,'Detailed Assumptions'!$C$56:$C$62,0),MATCH('Assumption calculations'!H$52,'Detailed Assumptions'!$C$56:$G$56,0))&lt;=0,1,H$50)</f>
        <v>1</v>
      </c>
      <c r="I59" s="49">
        <f>1+INDEX($C$3:$H$9,MATCH($C59,$C$3:$C$9,0),MATCH(I$53,$C$3:$H$3,0))*INDEX('Detailed Assumptions'!$C$56:$G$62,MATCH('Assumption calculations'!$C59,'Detailed Assumptions'!$C$56:$C$62,0),MATCH('Assumption calculations'!I$52,'Detailed Assumptions'!$C$56:$G$56,0))*IF(INDEX('Detailed Assumptions'!$C$56:$G$62,MATCH('Assumption calculations'!$C59,'Detailed Assumptions'!$C$56:$C$62,0),MATCH('Assumption calculations'!I$52,'Detailed Assumptions'!$C$56:$G$56,0))&lt;=0,1,I$50)</f>
        <v>1</v>
      </c>
      <c r="J59" s="49">
        <f>1+INDEX($C$3:$H$9,MATCH($C59,$C$3:$C$9,0),MATCH(J$53,$C$3:$H$3,0))*INDEX('Detailed Assumptions'!$C$56:$G$62,MATCH('Assumption calculations'!$C59,'Detailed Assumptions'!$C$56:$C$62,0),MATCH('Assumption calculations'!J$52,'Detailed Assumptions'!$C$56:$G$56,0))*IF(INDEX('Detailed Assumptions'!$C$56:$G$62,MATCH('Assumption calculations'!$C59,'Detailed Assumptions'!$C$56:$C$62,0),MATCH('Assumption calculations'!J$52,'Detailed Assumptions'!$C$56:$G$56,0))&lt;=0,1,J$50)</f>
        <v>1</v>
      </c>
      <c r="K59" s="49">
        <f>1+INDEX($C$3:$H$9,MATCH($C59,$C$3:$C$9,0),MATCH(K$53,$C$3:$H$3,0))*INDEX('Detailed Assumptions'!$C$56:$G$62,MATCH('Assumption calculations'!$C59,'Detailed Assumptions'!$C$56:$C$62,0),MATCH('Assumption calculations'!K$52,'Detailed Assumptions'!$C$56:$G$56,0))*IF(INDEX('Detailed Assumptions'!$C$56:$G$62,MATCH('Assumption calculations'!$C59,'Detailed Assumptions'!$C$56:$C$62,0),MATCH('Assumption calculations'!K$52,'Detailed Assumptions'!$C$56:$G$56,0))&lt;=0,1,K$50)</f>
        <v>1.0064699792960663</v>
      </c>
      <c r="L59" s="49">
        <f>1+INDEX($C$3:$H$9,MATCH($C59,$C$3:$C$9,0),MATCH(L$53,$C$3:$H$3,0))*INDEX('Detailed Assumptions'!$C$56:$G$62,MATCH('Assumption calculations'!$C59,'Detailed Assumptions'!$C$56:$C$62,0),MATCH('Assumption calculations'!L$52,'Detailed Assumptions'!$C$56:$G$56,0))*IF(INDEX('Detailed Assumptions'!$C$56:$G$62,MATCH('Assumption calculations'!$C59,'Detailed Assumptions'!$C$56:$C$62,0),MATCH('Assumption calculations'!L$52,'Detailed Assumptions'!$C$56:$G$56,0))&lt;=0,1,L$50)</f>
        <v>1.0241545893719808</v>
      </c>
      <c r="M59" s="49">
        <f>1+INDEX($C$3:$H$9,MATCH($C59,$C$3:$C$9,0),MATCH(M$53,$C$3:$H$3,0))*INDEX('Detailed Assumptions'!$C$56:$G$62,MATCH('Assumption calculations'!$C59,'Detailed Assumptions'!$C$56:$C$62,0),MATCH('Assumption calculations'!M$52,'Detailed Assumptions'!$C$56:$G$56,0))*IF(INDEX('Detailed Assumptions'!$C$56:$G$62,MATCH('Assumption calculations'!$C59,'Detailed Assumptions'!$C$56:$C$62,0),MATCH('Assumption calculations'!M$52,'Detailed Assumptions'!$C$56:$G$56,0))&lt;=0,1,M$50)</f>
        <v>1.0575109270761445</v>
      </c>
      <c r="N59" s="49">
        <f>1+INDEX($C$3:$H$9,MATCH($C59,$C$3:$C$9,0),MATCH(N$53,$C$3:$H$3,0))*INDEX('Detailed Assumptions'!$C$56:$G$62,MATCH('Assumption calculations'!$C59,'Detailed Assumptions'!$C$56:$C$62,0),MATCH('Assumption calculations'!N$52,'Detailed Assumptions'!$C$56:$G$56,0))*IF(INDEX('Detailed Assumptions'!$C$56:$G$62,MATCH('Assumption calculations'!$C59,'Detailed Assumptions'!$C$56:$C$62,0),MATCH('Assumption calculations'!N$52,'Detailed Assumptions'!$C$56:$G$56,0))&lt;=0,1,N$50)</f>
        <v>1</v>
      </c>
      <c r="O59" s="49">
        <f>1+INDEX($C$3:$H$9,MATCH($C59,$C$3:$C$9,0),MATCH(O$53,$C$3:$H$3,0))*INDEX('Detailed Assumptions'!$C$56:$G$62,MATCH('Assumption calculations'!$C59,'Detailed Assumptions'!$C$56:$C$62,0),MATCH('Assumption calculations'!O$52,'Detailed Assumptions'!$C$56:$G$56,0))*IF(INDEX('Detailed Assumptions'!$C$56:$G$62,MATCH('Assumption calculations'!$C59,'Detailed Assumptions'!$C$56:$C$62,0),MATCH('Assumption calculations'!O$52,'Detailed Assumptions'!$C$56:$G$56,0))&lt;=0,1,O$50)</f>
        <v>1</v>
      </c>
      <c r="P59" s="49">
        <f>1+INDEX($C$3:$H$9,MATCH($C59,$C$3:$C$9,0),MATCH(P$53,$C$3:$H$3,0))*INDEX('Detailed Assumptions'!$C$56:$G$62,MATCH('Assumption calculations'!$C59,'Detailed Assumptions'!$C$56:$C$62,0),MATCH('Assumption calculations'!P$52,'Detailed Assumptions'!$C$56:$G$56,0))*IF(INDEX('Detailed Assumptions'!$C$56:$G$62,MATCH('Assumption calculations'!$C59,'Detailed Assumptions'!$C$56:$C$62,0),MATCH('Assumption calculations'!P$52,'Detailed Assumptions'!$C$56:$G$56,0))&lt;=0,1,P$50)</f>
        <v>1.0064699792960663</v>
      </c>
      <c r="Q59" s="49">
        <f>1+INDEX($C$3:$H$9,MATCH($C59,$C$3:$C$9,0),MATCH(Q$53,$C$3:$H$3,0))*INDEX('Detailed Assumptions'!$C$56:$G$62,MATCH('Assumption calculations'!$C59,'Detailed Assumptions'!$C$56:$C$62,0),MATCH('Assumption calculations'!Q$52,'Detailed Assumptions'!$C$56:$G$56,0))*IF(INDEX('Detailed Assumptions'!$C$56:$G$62,MATCH('Assumption calculations'!$C59,'Detailed Assumptions'!$C$56:$C$62,0),MATCH('Assumption calculations'!Q$52,'Detailed Assumptions'!$C$56:$G$56,0))&lt;=0,1,Q$50)</f>
        <v>1.0241545893719808</v>
      </c>
      <c r="R59" s="49">
        <f>1+INDEX($C$3:$H$9,MATCH($C59,$C$3:$C$9,0),MATCH(R$53,$C$3:$H$3,0))*INDEX('Detailed Assumptions'!$C$56:$G$62,MATCH('Assumption calculations'!$C59,'Detailed Assumptions'!$C$56:$C$62,0),MATCH('Assumption calculations'!R$52,'Detailed Assumptions'!$C$56:$G$56,0))*IF(INDEX('Detailed Assumptions'!$C$56:$G$62,MATCH('Assumption calculations'!$C59,'Detailed Assumptions'!$C$56:$C$62,0),MATCH('Assumption calculations'!R$52,'Detailed Assumptions'!$C$56:$G$56,0))&lt;=0,1,R$50)</f>
        <v>1.0575109270761445</v>
      </c>
      <c r="S59" s="49">
        <f>1+INDEX($C$3:$H$9,MATCH($C59,$C$3:$C$9,0),MATCH(S$53,$C$3:$H$3,0))*INDEX('Detailed Assumptions'!$C$56:$G$62,MATCH('Assumption calculations'!$C59,'Detailed Assumptions'!$C$56:$C$62,0),MATCH('Assumption calculations'!S$52,'Detailed Assumptions'!$C$56:$G$56,0))*IF(INDEX('Detailed Assumptions'!$C$56:$G$62,MATCH('Assumption calculations'!$C59,'Detailed Assumptions'!$C$56:$C$62,0),MATCH('Assumption calculations'!S$52,'Detailed Assumptions'!$C$56:$G$56,0))&lt;=0,1,S$50)</f>
        <v>1</v>
      </c>
      <c r="T59" s="49">
        <f>1+INDEX($C$3:$H$9,MATCH($C59,$C$3:$C$9,0),MATCH(T$53,$C$3:$H$3,0))*INDEX('Detailed Assumptions'!$C$56:$G$62,MATCH('Assumption calculations'!$C59,'Detailed Assumptions'!$C$56:$C$62,0),MATCH('Assumption calculations'!T$52,'Detailed Assumptions'!$C$56:$G$56,0))*IF(INDEX('Detailed Assumptions'!$C$56:$G$62,MATCH('Assumption calculations'!$C59,'Detailed Assumptions'!$C$56:$C$62,0),MATCH('Assumption calculations'!T$52,'Detailed Assumptions'!$C$56:$G$56,0))&lt;=0,1,T$50)</f>
        <v>1</v>
      </c>
      <c r="U59" s="49">
        <f>1+INDEX($C$3:$H$9,MATCH($C59,$C$3:$C$9,0),MATCH(U$53,$C$3:$H$3,0))*INDEX('Detailed Assumptions'!$C$56:$G$62,MATCH('Assumption calculations'!$C59,'Detailed Assumptions'!$C$56:$C$62,0),MATCH('Assumption calculations'!U$52,'Detailed Assumptions'!$C$56:$G$56,0))*IF(INDEX('Detailed Assumptions'!$C$56:$G$62,MATCH('Assumption calculations'!$C59,'Detailed Assumptions'!$C$56:$C$62,0),MATCH('Assumption calculations'!U$52,'Detailed Assumptions'!$C$56:$G$56,0))&lt;=0,1,U$50)</f>
        <v>0.995</v>
      </c>
      <c r="V59" s="49">
        <f>1+INDEX($C$3:$H$9,MATCH($C59,$C$3:$C$9,0),MATCH(V$53,$C$3:$H$3,0))*INDEX('Detailed Assumptions'!$C$56:$G$62,MATCH('Assumption calculations'!$C59,'Detailed Assumptions'!$C$56:$C$62,0),MATCH('Assumption calculations'!V$52,'Detailed Assumptions'!$C$56:$G$56,0))*IF(INDEX('Detailed Assumptions'!$C$56:$G$62,MATCH('Assumption calculations'!$C59,'Detailed Assumptions'!$C$56:$C$62,0),MATCH('Assumption calculations'!V$52,'Detailed Assumptions'!$C$56:$G$56,0))&lt;=0,1,V$50)</f>
        <v>0.98</v>
      </c>
      <c r="W59" s="49">
        <f>1+INDEX($C$3:$H$9,MATCH($C59,$C$3:$C$9,0),MATCH(W$53,$C$3:$H$3,0))*INDEX('Detailed Assumptions'!$C$56:$G$62,MATCH('Assumption calculations'!$C59,'Detailed Assumptions'!$C$56:$C$62,0),MATCH('Assumption calculations'!W$52,'Detailed Assumptions'!$C$56:$G$56,0))*IF(INDEX('Detailed Assumptions'!$C$56:$G$62,MATCH('Assumption calculations'!$C59,'Detailed Assumptions'!$C$56:$C$62,0),MATCH('Assumption calculations'!W$52,'Detailed Assumptions'!$C$56:$G$56,0))&lt;=0,1,W$50)</f>
        <v>0.95</v>
      </c>
    </row>
    <row r="60" spans="3:23" s="33" customFormat="1">
      <c r="C60" s="54" t="s">
        <v>63</v>
      </c>
      <c r="D60" s="76">
        <f t="array" ref="D60">IF(PRODUCT(IF(D54:D59&lt;&gt;0,D54:D59))=0,100%,PRODUCT(IF(D54:D59&lt;&gt;0,D54:D59)))</f>
        <v>1.0086266390614216</v>
      </c>
      <c r="E60" s="76">
        <f t="array" ref="E60">IF(PRODUCT(IF(E54:E59&lt;&gt;0,E54:E59))=0,100%,PRODUCT(IF(E54:E59&lt;&gt;0,E54:E59)))</f>
        <v>1.0138026224982746</v>
      </c>
      <c r="F60" s="76">
        <f t="array" ref="F60">IF(PRODUCT(IF(F54:F59&lt;&gt;0,F54:F59))=0,100%,PRODUCT(IF(F54:F59&lt;&gt;0,F54:F59)))</f>
        <v>1.0094760391751219</v>
      </c>
      <c r="G60" s="76">
        <f t="array" ref="G60">IF(PRODUCT(IF(G54:G59&lt;&gt;0,G54:G59))=0,100%,PRODUCT(IF(G54:G59&lt;&gt;0,G54:G59)))</f>
        <v>0.98828698263086634</v>
      </c>
      <c r="H60" s="76">
        <f t="array" ref="H60">IF(PRODUCT(IF(H54:H59&lt;&gt;0,H54:H59))=0,100%,PRODUCT(IF(H54:H59&lt;&gt;0,H54:H59)))</f>
        <v>0.9374909792771341</v>
      </c>
      <c r="I60" s="76">
        <f t="array" ref="I60">IF(PRODUCT(IF(I54:I59&lt;&gt;0,I54:I59))=0,100%,PRODUCT(IF(I54:I59&lt;&gt;0,I54:I59)))</f>
        <v>1.01875</v>
      </c>
      <c r="J60" s="76">
        <f t="array" ref="J60">IF(PRODUCT(IF(J54:J59&lt;&gt;0,J54:J59))=0,100%,PRODUCT(IF(J54:J59&lt;&gt;0,J54:J59)))</f>
        <v>1.0318750000000001</v>
      </c>
      <c r="K60" s="76">
        <f t="array" ref="K60">IF(PRODUCT(IF(K54:K59&lt;&gt;0,K54:K59))=0,100%,PRODUCT(IF(K54:K59&lt;&gt;0,K54:K59)))</f>
        <v>1.0638608595328984</v>
      </c>
      <c r="L60" s="76">
        <f t="array" ref="L60">IF(PRODUCT(IF(L54:L59&lt;&gt;0,L54:L59))=0,100%,PRODUCT(IF(L54:L59&lt;&gt;0,L54:L59)))</f>
        <v>1.1132453083759022</v>
      </c>
      <c r="M60" s="76">
        <f t="array" ref="M60">IF(PRODUCT(IF(M54:M59&lt;&gt;0,M54:M59))=0,100%,PRODUCT(IF(M54:M59&lt;&gt;0,M54:M59)))</f>
        <v>1.1930832328216594</v>
      </c>
      <c r="N60" s="76">
        <f t="array" ref="N60">IF(PRODUCT(IF(N54:N59&lt;&gt;0,N54:N59))=0,100%,PRODUCT(IF(N54:N59&lt;&gt;0,N54:N59)))</f>
        <v>1</v>
      </c>
      <c r="O60" s="76">
        <f t="array" ref="O60">IF(PRODUCT(IF(O54:O59&lt;&gt;0,O54:O59))=0,100%,PRODUCT(IF(O54:O59&lt;&gt;0,O54:O59)))</f>
        <v>1</v>
      </c>
      <c r="P60" s="76">
        <f t="array" ref="P60">IF(PRODUCT(IF(P54:P59&lt;&gt;0,P54:P59))=0,100%,PRODUCT(IF(P54:P59&lt;&gt;0,P54:P59)))</f>
        <v>1.0207960271380134</v>
      </c>
      <c r="Q60" s="76">
        <f t="array" ref="Q60">IF(PRODUCT(IF(Q54:Q59&lt;&gt;0,Q54:Q59))=0,100%,PRODUCT(IF(Q54:Q59&lt;&gt;0,Q54:Q59)))</f>
        <v>1.0577152573642776</v>
      </c>
      <c r="R60" s="76">
        <f t="array" ref="R60">IF(PRODUCT(IF(R54:R59&lt;&gt;0,R54:R59))=0,100%,PRODUCT(IF(R54:R59&lt;&gt;0,R54:R59)))</f>
        <v>1.1229018661850914</v>
      </c>
      <c r="S60" s="76">
        <f t="array" ref="S60">IF(PRODUCT(IF(S54:S59&lt;&gt;0,S54:S59))=0,100%,PRODUCT(IF(S54:S59&lt;&gt;0,S54:S59)))</f>
        <v>0.995</v>
      </c>
      <c r="T60" s="76">
        <f t="array" ref="T60">IF(PRODUCT(IF(T54:T59&lt;&gt;0,T54:T59))=0,100%,PRODUCT(IF(T54:T59&lt;&gt;0,T54:T59)))</f>
        <v>0.99</v>
      </c>
      <c r="U60" s="76">
        <f t="array" ref="U60">IF(PRODUCT(IF(U54:U59&lt;&gt;0,U54:U59))=0,100%,PRODUCT(IF(U54:U59&lt;&gt;0,U54:U59)))</f>
        <v>0.97517462500000007</v>
      </c>
      <c r="V60" s="76">
        <f t="array" ref="V60">IF(PRODUCT(IF(V54:V59&lt;&gt;0,V54:V59))=0,100%,PRODUCT(IF(V54:V59&lt;&gt;0,V54:V59)))</f>
        <v>0.94604202000000004</v>
      </c>
      <c r="W60" s="76">
        <f t="array" ref="W60">IF(PRODUCT(IF(W54:W59&lt;&gt;0,W54:W59))=0,100%,PRODUCT(IF(W54:W59&lt;&gt;0,W54:W59)))</f>
        <v>0.89410912499999995</v>
      </c>
    </row>
    <row r="61" spans="3:23" s="1" customFormat="1"/>
    <row r="62" spans="3:23">
      <c r="C62" s="58" t="s">
        <v>44</v>
      </c>
      <c r="D62" s="39" t="s">
        <v>56</v>
      </c>
      <c r="E62" s="39" t="s">
        <v>80</v>
      </c>
      <c r="F62" s="39" t="s">
        <v>94</v>
      </c>
      <c r="G62" s="39" t="s">
        <v>53</v>
      </c>
      <c r="H62" s="1"/>
    </row>
    <row r="63" spans="3:23" s="1" customFormat="1">
      <c r="C63" s="37">
        <v>2015</v>
      </c>
      <c r="D63" s="49">
        <v>1</v>
      </c>
      <c r="E63" s="49">
        <v>1</v>
      </c>
      <c r="F63" s="49">
        <v>1</v>
      </c>
      <c r="G63" s="49">
        <v>1</v>
      </c>
    </row>
    <row r="64" spans="3:23">
      <c r="C64" s="37">
        <v>2016</v>
      </c>
      <c r="D64" s="49">
        <f t="shared" ref="D64:G68" si="8">INDEX($C$47:$W$60,MATCH("TOTAL COST GROWTH",$C$47:$C$60,0),MATCH(D$62&amp;$C64,$C$47:$W$47,0))</f>
        <v>1.0086266390614216</v>
      </c>
      <c r="E64" s="49">
        <f t="shared" si="8"/>
        <v>1.01875</v>
      </c>
      <c r="F64" s="49">
        <f t="shared" si="8"/>
        <v>1</v>
      </c>
      <c r="G64" s="49">
        <f t="shared" si="8"/>
        <v>0.995</v>
      </c>
      <c r="H64" s="1"/>
    </row>
    <row r="65" spans="3:8">
      <c r="C65" s="37">
        <v>2017</v>
      </c>
      <c r="D65" s="49">
        <f t="shared" si="8"/>
        <v>1.0138026224982746</v>
      </c>
      <c r="E65" s="49">
        <f t="shared" si="8"/>
        <v>1.0318750000000001</v>
      </c>
      <c r="F65" s="49">
        <f t="shared" si="8"/>
        <v>1</v>
      </c>
      <c r="G65" s="49">
        <f t="shared" si="8"/>
        <v>0.99</v>
      </c>
      <c r="H65" s="1"/>
    </row>
    <row r="66" spans="3:8">
      <c r="C66" s="37">
        <v>2018</v>
      </c>
      <c r="D66" s="49">
        <f t="shared" si="8"/>
        <v>1.0094760391751219</v>
      </c>
      <c r="E66" s="49">
        <f t="shared" si="8"/>
        <v>1.0638608595328984</v>
      </c>
      <c r="F66" s="49">
        <f t="shared" si="8"/>
        <v>1.0207960271380134</v>
      </c>
      <c r="G66" s="49">
        <f t="shared" si="8"/>
        <v>0.97517462500000007</v>
      </c>
      <c r="H66" s="1"/>
    </row>
    <row r="67" spans="3:8">
      <c r="C67" s="37">
        <v>2019</v>
      </c>
      <c r="D67" s="49">
        <f>INDEX($C$47:$W$60,MATCH("TOTAL COST GROWTH",$C$47:$C$60,0),MATCH(D$62&amp;$C67,$C$47:$W$47,0))</f>
        <v>0.98828698263086634</v>
      </c>
      <c r="E67" s="49">
        <f t="shared" si="8"/>
        <v>1.1132453083759022</v>
      </c>
      <c r="F67" s="49">
        <f t="shared" si="8"/>
        <v>1.0577152573642776</v>
      </c>
      <c r="G67" s="49">
        <f t="shared" si="8"/>
        <v>0.94604202000000004</v>
      </c>
      <c r="H67" s="1"/>
    </row>
    <row r="68" spans="3:8">
      <c r="C68" s="37">
        <v>2020</v>
      </c>
      <c r="D68" s="49">
        <f t="shared" si="8"/>
        <v>0.9374909792771341</v>
      </c>
      <c r="E68" s="49">
        <f t="shared" si="8"/>
        <v>1.1930832328216594</v>
      </c>
      <c r="F68" s="49">
        <f t="shared" si="8"/>
        <v>1.1229018661850914</v>
      </c>
      <c r="G68" s="49">
        <f t="shared" si="8"/>
        <v>0.89410912499999995</v>
      </c>
      <c r="H68" s="1"/>
    </row>
    <row r="75" spans="3:8">
      <c r="E75" s="1"/>
    </row>
    <row r="76" spans="3:8">
      <c r="E76" s="1"/>
    </row>
    <row r="77" spans="3:8">
      <c r="E77" s="1"/>
    </row>
    <row r="78" spans="3:8">
      <c r="E78" s="1"/>
    </row>
  </sheetData>
  <pageMargins left="0.2361111111111111" right="0.2361111111111111" top="0.75" bottom="0.75" header="0.31944444444444442" footer="0.31944444444444442"/>
  <pageSetup orientation="landscape"/>
  <headerFooter>
    <oddFooter>&amp;CPage &amp;P of &amp;N</oddFooter>
  </headerFooter>
  <customProperties>
    <customPr name="SheetId" r:id="rId1"/>
  </customPropertie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A1:BD63"/>
  <sheetViews>
    <sheetView showGridLines="0" topLeftCell="A24" zoomScale="85" zoomScaleNormal="85" zoomScalePageLayoutView="85" workbookViewId="0">
      <selection activeCell="G29" sqref="G29"/>
    </sheetView>
  </sheetViews>
  <sheetFormatPr baseColWidth="10" defaultColWidth="9.1640625" defaultRowHeight="12" x14ac:dyDescent="0"/>
  <cols>
    <col min="1" max="1" width="21.33203125" bestFit="1" customWidth="1"/>
    <col min="2" max="2" width="34.5" bestFit="1" customWidth="1"/>
    <col min="3" max="3" width="25.1640625" bestFit="1" customWidth="1"/>
    <col min="4" max="4" width="30.6640625" bestFit="1" customWidth="1"/>
    <col min="5" max="5" width="27.5" bestFit="1" customWidth="1"/>
    <col min="6" max="6" width="33.5" bestFit="1" customWidth="1"/>
    <col min="7" max="7" width="37.6640625" bestFit="1" customWidth="1"/>
    <col min="8" max="8" width="37.33203125" bestFit="1" customWidth="1"/>
    <col min="9" max="9" width="18.6640625" bestFit="1" customWidth="1"/>
    <col min="10" max="10" width="33.33203125" bestFit="1" customWidth="1"/>
    <col min="11" max="16" width="20.33203125" bestFit="1" customWidth="1"/>
    <col min="18" max="18" width="33.33203125" bestFit="1" customWidth="1"/>
    <col min="19" max="24" width="18.33203125" bestFit="1" customWidth="1"/>
    <col min="26" max="26" width="33.33203125" bestFit="1" customWidth="1"/>
    <col min="27" max="32" width="19.5" bestFit="1" customWidth="1"/>
    <col min="34" max="34" width="33.33203125" bestFit="1" customWidth="1"/>
    <col min="35" max="40" width="16.33203125" bestFit="1" customWidth="1"/>
    <col min="42" max="42" width="33.33203125" bestFit="1" customWidth="1"/>
    <col min="43" max="48" width="18.6640625" bestFit="1" customWidth="1"/>
    <col min="50" max="50" width="33.33203125" bestFit="1" customWidth="1"/>
    <col min="51" max="56" width="16.33203125" bestFit="1" customWidth="1"/>
  </cols>
  <sheetData>
    <row r="1" spans="1:56" hidden="1">
      <c r="B1" t="s">
        <v>122</v>
      </c>
    </row>
    <row r="2" spans="1:56" hidden="1">
      <c r="B2" s="146" t="s">
        <v>160</v>
      </c>
      <c r="C2" s="129" t="s">
        <v>152</v>
      </c>
      <c r="D2" s="129" t="s">
        <v>155</v>
      </c>
      <c r="E2" s="129" t="s">
        <v>18</v>
      </c>
      <c r="F2" s="129" t="s">
        <v>19</v>
      </c>
      <c r="G2" s="129" t="s">
        <v>16</v>
      </c>
      <c r="H2" s="129" t="s">
        <v>17</v>
      </c>
      <c r="I2" s="129" t="s">
        <v>20</v>
      </c>
      <c r="J2" s="129" t="s">
        <v>21</v>
      </c>
      <c r="K2" s="129" t="s">
        <v>153</v>
      </c>
    </row>
    <row r="3" spans="1:56" hidden="1">
      <c r="B3" s="129" t="s">
        <v>122</v>
      </c>
      <c r="C3" s="130">
        <f>OUTPUT!D17</f>
        <v>2.56</v>
      </c>
      <c r="D3" s="35"/>
      <c r="E3" s="35"/>
      <c r="F3" s="35"/>
      <c r="G3" s="35"/>
      <c r="H3" s="35"/>
      <c r="I3" s="35"/>
      <c r="J3" s="35"/>
      <c r="K3" s="130">
        <f>OUTPUT!I17</f>
        <v>4.1450449030328009</v>
      </c>
    </row>
    <row r="4" spans="1:56" hidden="1">
      <c r="B4" s="129" t="s">
        <v>154</v>
      </c>
      <c r="C4" s="130"/>
      <c r="D4" s="130">
        <f t="shared" ref="D4:J4" ca="1" si="0">OFFSET($B$8,MATCH($B$1,$B$8:$B$21,0)-1,MATCH(D$2,$B$8:$BD$8,0)+5)</f>
        <v>-0.10087421439999966</v>
      </c>
      <c r="E4" s="130">
        <f t="shared" ca="1" si="0"/>
        <v>0.64000000000000012</v>
      </c>
      <c r="F4" s="130">
        <f t="shared" ca="1" si="0"/>
        <v>0.23123600000000133</v>
      </c>
      <c r="G4" s="130">
        <f t="shared" ca="1" si="0"/>
        <v>0.19268817204301047</v>
      </c>
      <c r="H4" s="130">
        <f t="shared" ca="1" si="0"/>
        <v>0</v>
      </c>
      <c r="I4" s="130">
        <f t="shared" ca="1" si="0"/>
        <v>0.18878240000000046</v>
      </c>
      <c r="J4" s="130">
        <f t="shared" ca="1" si="0"/>
        <v>0.20993267599999976</v>
      </c>
      <c r="K4" s="130"/>
    </row>
    <row r="5" spans="1:56" s="1" customFormat="1" hidden="1">
      <c r="B5" s="129" t="s">
        <v>169</v>
      </c>
      <c r="C5" s="130">
        <f>OUTPUT!D12-OUTPUT!D17</f>
        <v>0.64000000000000012</v>
      </c>
      <c r="D5" s="130"/>
      <c r="E5" s="130"/>
      <c r="F5" s="130"/>
      <c r="G5" s="130"/>
      <c r="H5" s="130"/>
      <c r="I5" s="130"/>
      <c r="J5" s="130"/>
      <c r="K5" s="130">
        <f>OUTPUT!I12-OUTPUT!I17</f>
        <v>0.31469579408191262</v>
      </c>
    </row>
    <row r="6" spans="1:56" hidden="1">
      <c r="D6" s="43"/>
      <c r="E6" s="43"/>
      <c r="F6" s="43"/>
      <c r="G6" s="43"/>
      <c r="H6" s="43"/>
      <c r="I6" s="43"/>
      <c r="J6" s="43"/>
      <c r="K6" s="131"/>
    </row>
    <row r="7" spans="1:56" hidden="1">
      <c r="C7" t="str">
        <f>B8</f>
        <v>Attrition of Children with SAM</v>
      </c>
      <c r="D7" t="str">
        <f>B8</f>
        <v>Attrition of Children with SAM</v>
      </c>
      <c r="E7" t="str">
        <f>B8</f>
        <v>Attrition of Children with SAM</v>
      </c>
      <c r="F7" t="str">
        <f>B8</f>
        <v>Attrition of Children with SAM</v>
      </c>
      <c r="G7" t="str">
        <f>B8</f>
        <v>Attrition of Children with SAM</v>
      </c>
      <c r="H7" t="str">
        <f>B8</f>
        <v>Attrition of Children with SAM</v>
      </c>
      <c r="K7" s="1" t="str">
        <f>J8</f>
        <v>Community Mobilization</v>
      </c>
      <c r="L7" s="1" t="str">
        <f>J8</f>
        <v>Community Mobilization</v>
      </c>
      <c r="M7" s="1" t="str">
        <f>J8</f>
        <v>Community Mobilization</v>
      </c>
      <c r="N7" s="1" t="str">
        <f>J8</f>
        <v>Community Mobilization</v>
      </c>
      <c r="O7" s="1" t="str">
        <f>J8</f>
        <v>Community Mobilization</v>
      </c>
      <c r="P7" s="1" t="str">
        <f>J8</f>
        <v>Community Mobilization</v>
      </c>
      <c r="S7" s="1" t="str">
        <f>R8</f>
        <v>Utilization of services</v>
      </c>
      <c r="T7" s="1" t="str">
        <f>R8</f>
        <v>Utilization of services</v>
      </c>
      <c r="U7" s="1" t="str">
        <f>R8</f>
        <v>Utilization of services</v>
      </c>
      <c r="V7" s="1" t="str">
        <f>R8</f>
        <v>Utilization of services</v>
      </c>
      <c r="W7" s="1" t="str">
        <f>R8</f>
        <v>Utilization of services</v>
      </c>
      <c r="X7" s="1" t="str">
        <f>R8</f>
        <v>Utilization of services</v>
      </c>
      <c r="AA7" s="1" t="str">
        <f>Z8</f>
        <v>Commodity Availability</v>
      </c>
      <c r="AB7" s="1" t="str">
        <f>Z8</f>
        <v>Commodity Availability</v>
      </c>
      <c r="AC7" s="1" t="str">
        <f>Z8</f>
        <v>Commodity Availability</v>
      </c>
      <c r="AD7" s="1" t="str">
        <f>Z8</f>
        <v>Commodity Availability</v>
      </c>
      <c r="AE7" s="1" t="str">
        <f>Z8</f>
        <v>Commodity Availability</v>
      </c>
      <c r="AF7" s="1" t="str">
        <f>Z8</f>
        <v>Commodity Availability</v>
      </c>
      <c r="AI7" s="1" t="str">
        <f>AH8</f>
        <v>Human Resources</v>
      </c>
      <c r="AJ7" s="1" t="str">
        <f>AH8</f>
        <v>Human Resources</v>
      </c>
      <c r="AK7" s="1" t="str">
        <f>AH8</f>
        <v>Human Resources</v>
      </c>
      <c r="AL7" s="1" t="str">
        <f>AH8</f>
        <v>Human Resources</v>
      </c>
      <c r="AM7" s="1" t="str">
        <f>AH8</f>
        <v>Human Resources</v>
      </c>
      <c r="AN7" s="1" t="str">
        <f>AH8</f>
        <v>Human Resources</v>
      </c>
      <c r="AQ7" s="1" t="str">
        <f>AP8</f>
        <v>Continuity of services</v>
      </c>
      <c r="AR7" s="1" t="str">
        <f>AP8</f>
        <v>Continuity of services</v>
      </c>
      <c r="AS7" s="1" t="str">
        <f>AP8</f>
        <v>Continuity of services</v>
      </c>
      <c r="AT7" s="1" t="str">
        <f>AP8</f>
        <v>Continuity of services</v>
      </c>
      <c r="AU7" s="1" t="str">
        <f>AP8</f>
        <v>Continuity of services</v>
      </c>
      <c r="AV7" s="1" t="str">
        <f>AP8</f>
        <v>Continuity of services</v>
      </c>
      <c r="AY7" s="1" t="str">
        <f>AX8</f>
        <v>Quality of services</v>
      </c>
      <c r="AZ7" s="1" t="str">
        <f>AX8</f>
        <v>Quality of services</v>
      </c>
      <c r="BA7" s="1" t="str">
        <f>AX8</f>
        <v>Quality of services</v>
      </c>
      <c r="BB7" s="1" t="str">
        <f>AX8</f>
        <v>Quality of services</v>
      </c>
      <c r="BC7" s="1" t="str">
        <f>AX8</f>
        <v>Quality of services</v>
      </c>
      <c r="BD7" s="1" t="str">
        <f>AX8</f>
        <v>Quality of services</v>
      </c>
    </row>
    <row r="8" spans="1:56" hidden="1">
      <c r="B8" s="129" t="s">
        <v>155</v>
      </c>
      <c r="C8" s="51">
        <v>2015</v>
      </c>
      <c r="D8" s="136">
        <v>2017</v>
      </c>
      <c r="E8" s="141" t="s">
        <v>157</v>
      </c>
      <c r="F8" s="136">
        <v>2020</v>
      </c>
      <c r="G8" s="142" t="s">
        <v>158</v>
      </c>
      <c r="H8" s="142" t="s">
        <v>159</v>
      </c>
      <c r="I8" s="1"/>
      <c r="J8" s="129" t="s">
        <v>18</v>
      </c>
      <c r="K8" s="51">
        <v>2015</v>
      </c>
      <c r="L8" s="136">
        <v>2017</v>
      </c>
      <c r="M8" s="141" t="s">
        <v>157</v>
      </c>
      <c r="N8" s="136">
        <v>2020</v>
      </c>
      <c r="O8" s="142" t="s">
        <v>158</v>
      </c>
      <c r="P8" s="142" t="s">
        <v>159</v>
      </c>
      <c r="R8" s="129" t="s">
        <v>19</v>
      </c>
      <c r="S8" s="51">
        <v>2015</v>
      </c>
      <c r="T8" s="136">
        <v>2017</v>
      </c>
      <c r="U8" s="141" t="s">
        <v>157</v>
      </c>
      <c r="V8" s="136">
        <v>2020</v>
      </c>
      <c r="W8" s="142" t="s">
        <v>158</v>
      </c>
      <c r="X8" s="142" t="s">
        <v>159</v>
      </c>
      <c r="Z8" s="129" t="s">
        <v>16</v>
      </c>
      <c r="AA8" s="51">
        <v>2015</v>
      </c>
      <c r="AB8" s="136">
        <v>2017</v>
      </c>
      <c r="AC8" s="141" t="s">
        <v>157</v>
      </c>
      <c r="AD8" s="136">
        <v>2020</v>
      </c>
      <c r="AE8" s="142" t="s">
        <v>158</v>
      </c>
      <c r="AF8" s="142" t="s">
        <v>159</v>
      </c>
      <c r="AH8" s="129" t="s">
        <v>17</v>
      </c>
      <c r="AI8" s="51">
        <v>2015</v>
      </c>
      <c r="AJ8" s="136">
        <v>2017</v>
      </c>
      <c r="AK8" s="141" t="s">
        <v>157</v>
      </c>
      <c r="AL8" s="136">
        <v>2020</v>
      </c>
      <c r="AM8" s="142" t="s">
        <v>158</v>
      </c>
      <c r="AN8" s="142" t="s">
        <v>159</v>
      </c>
      <c r="AP8" s="129" t="s">
        <v>20</v>
      </c>
      <c r="AQ8" s="51">
        <v>2015</v>
      </c>
      <c r="AR8" s="136">
        <v>2017</v>
      </c>
      <c r="AS8" s="141" t="s">
        <v>157</v>
      </c>
      <c r="AT8" s="136">
        <v>2020</v>
      </c>
      <c r="AU8" s="142" t="s">
        <v>158</v>
      </c>
      <c r="AV8" s="142" t="s">
        <v>159</v>
      </c>
      <c r="AX8" s="129" t="s">
        <v>21</v>
      </c>
      <c r="AY8" s="51">
        <v>2015</v>
      </c>
      <c r="AZ8" s="136">
        <v>2017</v>
      </c>
      <c r="BA8" s="141" t="s">
        <v>157</v>
      </c>
      <c r="BB8" s="136">
        <v>2020</v>
      </c>
      <c r="BC8" s="142" t="s">
        <v>158</v>
      </c>
      <c r="BD8" s="142" t="s">
        <v>159</v>
      </c>
    </row>
    <row r="9" spans="1:56" hidden="1">
      <c r="B9" s="54" t="s">
        <v>32</v>
      </c>
      <c r="C9" s="133">
        <f>OUTPUT!$D$4</f>
        <v>26.666666666666668</v>
      </c>
      <c r="D9" s="135">
        <f>OUTPUT!F4</f>
        <v>26.135999999999999</v>
      </c>
      <c r="E9" s="140">
        <f>D9-C9</f>
        <v>-0.53066666666666862</v>
      </c>
      <c r="F9" s="135">
        <f>OUTPUT!H4</f>
        <v>25.615893600000003</v>
      </c>
      <c r="G9" s="143">
        <f>F9-D9</f>
        <v>-0.52010639999999597</v>
      </c>
      <c r="H9" s="143">
        <f>F9-C9</f>
        <v>-1.0507730666666646</v>
      </c>
      <c r="I9" s="128"/>
      <c r="J9" s="54" t="s">
        <v>32</v>
      </c>
      <c r="K9" s="133">
        <f>OUTPUT!$D$4</f>
        <v>26.666666666666668</v>
      </c>
      <c r="L9" s="135">
        <f>K9</f>
        <v>26.666666666666668</v>
      </c>
      <c r="M9" s="140">
        <f>L9-K9</f>
        <v>0</v>
      </c>
      <c r="N9" s="135">
        <f>L9</f>
        <v>26.666666666666668</v>
      </c>
      <c r="O9" s="143">
        <f>N9-L9</f>
        <v>0</v>
      </c>
      <c r="P9" s="143">
        <f>N9-K9</f>
        <v>0</v>
      </c>
      <c r="R9" s="54" t="s">
        <v>32</v>
      </c>
      <c r="S9" s="133">
        <f>OUTPUT!$D$4</f>
        <v>26.666666666666668</v>
      </c>
      <c r="T9" s="135">
        <f>S9</f>
        <v>26.666666666666668</v>
      </c>
      <c r="U9" s="140">
        <f>T9-S9</f>
        <v>0</v>
      </c>
      <c r="V9" s="135">
        <f>T9</f>
        <v>26.666666666666668</v>
      </c>
      <c r="W9" s="143">
        <f>V9-T9</f>
        <v>0</v>
      </c>
      <c r="X9" s="143">
        <f>V9-S9</f>
        <v>0</v>
      </c>
      <c r="Z9" s="54" t="s">
        <v>32</v>
      </c>
      <c r="AA9" s="133">
        <f>OUTPUT!$D$4</f>
        <v>26.666666666666668</v>
      </c>
      <c r="AB9" s="135">
        <f>AA9</f>
        <v>26.666666666666668</v>
      </c>
      <c r="AC9" s="140">
        <f>AB9-AA9</f>
        <v>0</v>
      </c>
      <c r="AD9" s="135">
        <f>AB9</f>
        <v>26.666666666666668</v>
      </c>
      <c r="AE9" s="143">
        <f>AD9-AB9</f>
        <v>0</v>
      </c>
      <c r="AF9" s="143">
        <f>AD9-AA9</f>
        <v>0</v>
      </c>
      <c r="AH9" s="54" t="s">
        <v>32</v>
      </c>
      <c r="AI9" s="133">
        <f>OUTPUT!$D$4</f>
        <v>26.666666666666668</v>
      </c>
      <c r="AJ9" s="135">
        <f>AI9</f>
        <v>26.666666666666668</v>
      </c>
      <c r="AK9" s="140">
        <f>AJ9-AI9</f>
        <v>0</v>
      </c>
      <c r="AL9" s="135">
        <f>AJ9</f>
        <v>26.666666666666668</v>
      </c>
      <c r="AM9" s="143">
        <f>AL9-AJ9</f>
        <v>0</v>
      </c>
      <c r="AN9" s="143">
        <f>AL9-AI9</f>
        <v>0</v>
      </c>
      <c r="AP9" s="54" t="s">
        <v>32</v>
      </c>
      <c r="AQ9" s="133">
        <f>OUTPUT!$D$4</f>
        <v>26.666666666666668</v>
      </c>
      <c r="AR9" s="135">
        <f>AQ9</f>
        <v>26.666666666666668</v>
      </c>
      <c r="AS9" s="140">
        <f>AR9-AQ9</f>
        <v>0</v>
      </c>
      <c r="AT9" s="135">
        <f>AR9</f>
        <v>26.666666666666668</v>
      </c>
      <c r="AU9" s="143">
        <f>AT9-AR9</f>
        <v>0</v>
      </c>
      <c r="AV9" s="143">
        <f>AT9-AQ9</f>
        <v>0</v>
      </c>
      <c r="AX9" s="54" t="s">
        <v>32</v>
      </c>
      <c r="AY9" s="133">
        <f>OUTPUT!$D$4</f>
        <v>26.666666666666668</v>
      </c>
      <c r="AZ9" s="135">
        <f>AY9</f>
        <v>26.666666666666668</v>
      </c>
      <c r="BA9" s="140">
        <f>AZ9-AY9</f>
        <v>0</v>
      </c>
      <c r="BB9" s="135">
        <f>AZ9</f>
        <v>26.666666666666668</v>
      </c>
      <c r="BC9" s="143">
        <f>BB9-AZ9</f>
        <v>0</v>
      </c>
      <c r="BD9" s="143">
        <f>BB9-AY9</f>
        <v>0</v>
      </c>
    </row>
    <row r="10" spans="1:56" hidden="1">
      <c r="A10" s="38"/>
      <c r="B10" s="132" t="s">
        <v>156</v>
      </c>
      <c r="C10" s="45">
        <f>C11/C$9</f>
        <v>0.25</v>
      </c>
      <c r="D10" s="45">
        <f>IF(D$7=$A11,INDEX(Calculations!$B$3:$I$22,MATCH('Slide output'!$A11,Calculations!$B$3:$B$22,0),MATCH('Slide output'!D$8,Calculations!$B$3:$I$3,0)),$C10)</f>
        <v>0.25</v>
      </c>
      <c r="E10" s="140"/>
      <c r="F10" s="45">
        <f>IF(F$7=$A11,INDEX(Calculations!$B$3:$I$22,MATCH('Slide output'!$A11,Calculations!$B$3:$B$22,0),MATCH('Slide output'!F$8,Calculations!$B$3:$I$3,0)),$C10)</f>
        <v>0.25</v>
      </c>
      <c r="G10" s="137"/>
      <c r="H10" s="137"/>
      <c r="I10" s="1"/>
      <c r="J10" s="132" t="s">
        <v>156</v>
      </c>
      <c r="K10" s="45">
        <f>K11/K$9</f>
        <v>0.25</v>
      </c>
      <c r="L10" s="45">
        <f>IF(L$7=$A11,INDEX(Calculations!$B$3:$I$22,MATCH('Slide output'!$A11,Calculations!$B$3:$B$22,0),MATCH('Slide output'!L$8,Calculations!$B$3:$I$3,0)),$C10)</f>
        <v>0.27500000000000002</v>
      </c>
      <c r="M10" s="140"/>
      <c r="N10" s="45">
        <f>IF(N$7=$A11,INDEX(Calculations!$B$3:$I$22,MATCH('Slide output'!$A11,Calculations!$B$3:$B$22,0),MATCH('Slide output'!N$8,Calculations!$B$3:$I$3,0)),$C10)</f>
        <v>0.3125</v>
      </c>
      <c r="O10" s="137"/>
      <c r="P10" s="137"/>
      <c r="R10" s="132" t="s">
        <v>156</v>
      </c>
      <c r="S10" s="45">
        <f>S11/S$9</f>
        <v>0.25</v>
      </c>
      <c r="T10" s="45">
        <f>IF(T$7=$A11,INDEX(Calculations!$B$3:$I$22,MATCH('Slide output'!$A11,Calculations!$B$3:$B$22,0),MATCH('Slide output'!T$8,Calculations!$B$3:$I$3,0)),$C10)</f>
        <v>0.25</v>
      </c>
      <c r="U10" s="140"/>
      <c r="V10" s="45">
        <f>IF(V$7=$A11,INDEX(Calculations!$B$3:$I$22,MATCH('Slide output'!$A11,Calculations!$B$3:$B$22,0),MATCH('Slide output'!V$8,Calculations!$B$3:$I$3,0)),$C10)</f>
        <v>0.25</v>
      </c>
      <c r="W10" s="137"/>
      <c r="X10" s="137"/>
      <c r="Z10" s="132" t="s">
        <v>156</v>
      </c>
      <c r="AA10" s="45">
        <f>AA11/AA$9</f>
        <v>0.25</v>
      </c>
      <c r="AB10" s="45">
        <f>IF(AB$7=$A11,INDEX(Calculations!$B$3:$I$22,MATCH('Slide output'!$A11,Calculations!$B$3:$B$22,0),MATCH('Slide output'!AB$8,Calculations!$B$3:$I$3,0)),$C10)</f>
        <v>0.25</v>
      </c>
      <c r="AC10" s="140"/>
      <c r="AD10" s="45">
        <f>IF(AD$7=$A11,INDEX(Calculations!$B$3:$I$22,MATCH('Slide output'!$A11,Calculations!$B$3:$B$22,0),MATCH('Slide output'!AD$8,Calculations!$B$3:$I$3,0)),$C10)</f>
        <v>0.25</v>
      </c>
      <c r="AE10" s="137"/>
      <c r="AF10" s="137"/>
      <c r="AH10" s="132" t="s">
        <v>156</v>
      </c>
      <c r="AI10" s="45">
        <f>AI11/AI$9</f>
        <v>0.25</v>
      </c>
      <c r="AJ10" s="45">
        <f>IF(AJ$7=$A11,INDEX(Calculations!$B$3:$I$22,MATCH('Slide output'!$A11,Calculations!$B$3:$B$22,0),MATCH('Slide output'!AJ$8,Calculations!$B$3:$I$3,0)),$C10)</f>
        <v>0.25</v>
      </c>
      <c r="AK10" s="140"/>
      <c r="AL10" s="45">
        <f>IF(AL$7=$A11,INDEX(Calculations!$B$3:$I$22,MATCH('Slide output'!$A11,Calculations!$B$3:$B$22,0),MATCH('Slide output'!AL$8,Calculations!$B$3:$I$3,0)),$C10)</f>
        <v>0.25</v>
      </c>
      <c r="AM10" s="137"/>
      <c r="AN10" s="137"/>
      <c r="AP10" s="132" t="s">
        <v>156</v>
      </c>
      <c r="AQ10" s="45">
        <f>AQ11/AQ$9</f>
        <v>0.25</v>
      </c>
      <c r="AR10" s="45">
        <f>IF(AR$7=$A11,INDEX(Calculations!$B$3:$I$22,MATCH('Slide output'!$A11,Calculations!$B$3:$B$22,0),MATCH('Slide output'!AR$8,Calculations!$B$3:$I$3,0)),$C10)</f>
        <v>0.25</v>
      </c>
      <c r="AS10" s="140"/>
      <c r="AT10" s="45">
        <f>IF(AT$7=$A11,INDEX(Calculations!$B$3:$I$22,MATCH('Slide output'!$A11,Calculations!$B$3:$B$22,0),MATCH('Slide output'!AT$8,Calculations!$B$3:$I$3,0)),$C10)</f>
        <v>0.25</v>
      </c>
      <c r="AU10" s="137"/>
      <c r="AV10" s="137"/>
      <c r="AX10" s="132" t="s">
        <v>156</v>
      </c>
      <c r="AY10" s="45">
        <f>AY11/AY$9</f>
        <v>0.25</v>
      </c>
      <c r="AZ10" s="45">
        <f>IF(AZ$7=$A11,INDEX(Calculations!$B$3:$I$22,MATCH('Slide output'!$A11,Calculations!$B$3:$B$22,0),MATCH('Slide output'!AZ$8,Calculations!$B$3:$I$3,0)),$C10)</f>
        <v>0.25</v>
      </c>
      <c r="BA10" s="140"/>
      <c r="BB10" s="45">
        <f>IF(BB$7=$A11,INDEX(Calculations!$B$3:$I$22,MATCH('Slide output'!$A11,Calculations!$B$3:$B$22,0),MATCH('Slide output'!BB$8,Calculations!$B$3:$I$3,0)),$C10)</f>
        <v>0.25</v>
      </c>
      <c r="BC10" s="137"/>
      <c r="BD10" s="137"/>
    </row>
    <row r="11" spans="1:56" hidden="1">
      <c r="A11" s="38" t="s">
        <v>163</v>
      </c>
      <c r="B11" s="54" t="s">
        <v>120</v>
      </c>
      <c r="C11" s="113">
        <f>INDEX(Calculations!$B$3:$I$22,MATCH('Slide output'!$A11,Calculations!$B$3:$B$22,0)+1,MATCH('Slide output'!C$8,Calculations!$B$3:$I$3,0))/10^6</f>
        <v>6.666666666666667</v>
      </c>
      <c r="D11" s="113">
        <f>D9*D10</f>
        <v>6.5339999999999998</v>
      </c>
      <c r="E11" s="140">
        <f>D11-C11</f>
        <v>-0.13266666666666715</v>
      </c>
      <c r="F11" s="113">
        <f>F10*F9</f>
        <v>6.4039734000000008</v>
      </c>
      <c r="G11" s="143">
        <f>F11-D11</f>
        <v>-0.13002659999999899</v>
      </c>
      <c r="H11" s="144">
        <f>F11-C11</f>
        <v>-0.26269326666666615</v>
      </c>
      <c r="I11" s="128"/>
      <c r="J11" s="54" t="s">
        <v>120</v>
      </c>
      <c r="K11" s="113">
        <f>INDEX(Calculations!$B$3:$I$22,MATCH('Slide output'!$A11,Calculations!$B$3:$B$22,0)+1,MATCH('Slide output'!K$8,Calculations!$B$3:$I$3,0))/10^6</f>
        <v>6.666666666666667</v>
      </c>
      <c r="L11" s="113">
        <f>L9*L10</f>
        <v>7.3333333333333339</v>
      </c>
      <c r="M11" s="140">
        <f>L11-K11</f>
        <v>0.66666666666666696</v>
      </c>
      <c r="N11" s="113">
        <f>N10*N9</f>
        <v>8.3333333333333339</v>
      </c>
      <c r="O11" s="143">
        <f>N11-L11</f>
        <v>1</v>
      </c>
      <c r="P11" s="144">
        <f>N11-K11</f>
        <v>1.666666666666667</v>
      </c>
      <c r="R11" s="54" t="s">
        <v>120</v>
      </c>
      <c r="S11" s="113">
        <f>INDEX(Calculations!$B$3:$I$22,MATCH('Slide output'!$A11,Calculations!$B$3:$B$22,0)+1,MATCH('Slide output'!S$8,Calculations!$B$3:$I$3,0))/10^6</f>
        <v>6.666666666666667</v>
      </c>
      <c r="T11" s="113">
        <f>T9*T10</f>
        <v>6.666666666666667</v>
      </c>
      <c r="U11" s="140">
        <f>T11-S11</f>
        <v>0</v>
      </c>
      <c r="V11" s="113">
        <f>V10*V9</f>
        <v>6.666666666666667</v>
      </c>
      <c r="W11" s="143">
        <f>V11-T11</f>
        <v>0</v>
      </c>
      <c r="X11" s="144">
        <f>V11-S11</f>
        <v>0</v>
      </c>
      <c r="Z11" s="54" t="s">
        <v>120</v>
      </c>
      <c r="AA11" s="113">
        <f>INDEX(Calculations!$B$3:$I$22,MATCH('Slide output'!$A11,Calculations!$B$3:$B$22,0)+1,MATCH('Slide output'!AA$8,Calculations!$B$3:$I$3,0))/10^6</f>
        <v>6.666666666666667</v>
      </c>
      <c r="AB11" s="113">
        <f>AB9*AB10</f>
        <v>6.666666666666667</v>
      </c>
      <c r="AC11" s="140">
        <f>AB11-AA11</f>
        <v>0</v>
      </c>
      <c r="AD11" s="113">
        <f>AD10*AD9</f>
        <v>6.666666666666667</v>
      </c>
      <c r="AE11" s="143">
        <f>AD11-AB11</f>
        <v>0</v>
      </c>
      <c r="AF11" s="144">
        <f>AD11-AA11</f>
        <v>0</v>
      </c>
      <c r="AH11" s="54" t="s">
        <v>120</v>
      </c>
      <c r="AI11" s="113">
        <f>INDEX(Calculations!$B$3:$I$22,MATCH('Slide output'!$A11,Calculations!$B$3:$B$22,0)+1,MATCH('Slide output'!AI$8,Calculations!$B$3:$I$3,0))/10^6</f>
        <v>6.666666666666667</v>
      </c>
      <c r="AJ11" s="113">
        <f>AJ9*AJ10</f>
        <v>6.666666666666667</v>
      </c>
      <c r="AK11" s="140">
        <f>AJ11-AI11</f>
        <v>0</v>
      </c>
      <c r="AL11" s="113">
        <f>AL10*AL9</f>
        <v>6.666666666666667</v>
      </c>
      <c r="AM11" s="143">
        <f>AL11-AJ11</f>
        <v>0</v>
      </c>
      <c r="AN11" s="144">
        <f>AL11-AI11</f>
        <v>0</v>
      </c>
      <c r="AP11" s="54" t="s">
        <v>120</v>
      </c>
      <c r="AQ11" s="113">
        <f>INDEX(Calculations!$B$3:$I$22,MATCH('Slide output'!$A11,Calculations!$B$3:$B$22,0)+1,MATCH('Slide output'!AQ$8,Calculations!$B$3:$I$3,0))/10^6</f>
        <v>6.666666666666667</v>
      </c>
      <c r="AR11" s="113">
        <f>AR9*AR10</f>
        <v>6.666666666666667</v>
      </c>
      <c r="AS11" s="140">
        <f>AR11-AQ11</f>
        <v>0</v>
      </c>
      <c r="AT11" s="113">
        <f>AT10*AT9</f>
        <v>6.666666666666667</v>
      </c>
      <c r="AU11" s="143">
        <f>AT11-AR11</f>
        <v>0</v>
      </c>
      <c r="AV11" s="144">
        <f>AT11-AQ11</f>
        <v>0</v>
      </c>
      <c r="AX11" s="54" t="s">
        <v>120</v>
      </c>
      <c r="AY11" s="113">
        <f>INDEX(Calculations!$B$3:$I$22,MATCH('Slide output'!$A11,Calculations!$B$3:$B$22,0)+1,MATCH('Slide output'!AY$8,Calculations!$B$3:$I$3,0))/10^6</f>
        <v>6.666666666666667</v>
      </c>
      <c r="AZ11" s="113">
        <f>AZ9*AZ10</f>
        <v>6.666666666666667</v>
      </c>
      <c r="BA11" s="140">
        <f>AZ11-AY11</f>
        <v>0</v>
      </c>
      <c r="BB11" s="113">
        <f>BB10*BB9</f>
        <v>6.666666666666667</v>
      </c>
      <c r="BC11" s="143">
        <f>BB11-AZ11</f>
        <v>0</v>
      </c>
      <c r="BD11" s="144">
        <f>BB11-AY11</f>
        <v>0</v>
      </c>
    </row>
    <row r="12" spans="1:56" hidden="1">
      <c r="B12" s="132" t="s">
        <v>156</v>
      </c>
      <c r="C12" s="45">
        <f>C13/C11</f>
        <v>0.5161290322580645</v>
      </c>
      <c r="D12" s="45">
        <f>IF(D$7=$A13,INDEX(Calculations!$B$3:$I$22,MATCH('Slide output'!$A13,Calculations!$B$3:$B$22,0),MATCH('Slide output'!D$8,Calculations!$B$3:$I$3,0)),$C12)</f>
        <v>0.5161290322580645</v>
      </c>
      <c r="E12" s="137"/>
      <c r="F12" s="45">
        <f>IF(F$7=$A13,INDEX(Calculations!$B$3:$I$22,MATCH('Slide output'!$A13,Calculations!$B$3:$B$22,0),MATCH('Slide output'!F$8,Calculations!$B$3:$I$3,0)),$C12)</f>
        <v>0.5161290322580645</v>
      </c>
      <c r="G12" s="137"/>
      <c r="H12" s="137"/>
      <c r="I12" s="1"/>
      <c r="J12" s="132" t="s">
        <v>156</v>
      </c>
      <c r="K12" s="45">
        <f>K13/K11</f>
        <v>0.5161290322580645</v>
      </c>
      <c r="L12" s="45">
        <f>IF(L$7=$A13,INDEX(Calculations!$B$3:$I$22,MATCH('Slide output'!$A13,Calculations!$B$3:$B$22,0),MATCH('Slide output'!L$8,Calculations!$B$3:$I$3,0)),$C12)</f>
        <v>0.5161290322580645</v>
      </c>
      <c r="M12" s="137"/>
      <c r="N12" s="45">
        <f>IF(N$7=$A13,INDEX(Calculations!$B$3:$I$22,MATCH('Slide output'!$A13,Calculations!$B$3:$B$22,0),MATCH('Slide output'!N$8,Calculations!$B$3:$I$3,0)),$C12)</f>
        <v>0.5161290322580645</v>
      </c>
      <c r="O12" s="137"/>
      <c r="P12" s="137"/>
      <c r="R12" s="132" t="s">
        <v>156</v>
      </c>
      <c r="S12" s="45">
        <f>S13/S11</f>
        <v>0.5161290322580645</v>
      </c>
      <c r="T12" s="45">
        <f>IF(T$7=$A13,INDEX(Calculations!$B$3:$I$22,MATCH('Slide output'!$A13,Calculations!$B$3:$B$22,0),MATCH('Slide output'!T$8,Calculations!$B$3:$I$3,0)),$C12)</f>
        <v>0.5161290322580645</v>
      </c>
      <c r="U12" s="137"/>
      <c r="V12" s="45">
        <f>IF(V$7=$A13,INDEX(Calculations!$B$3:$I$22,MATCH('Slide output'!$A13,Calculations!$B$3:$B$22,0),MATCH('Slide output'!V$8,Calculations!$B$3:$I$3,0)),$C12)</f>
        <v>0.56274919354838726</v>
      </c>
      <c r="W12" s="137"/>
      <c r="X12" s="137"/>
      <c r="Z12" s="132" t="s">
        <v>156</v>
      </c>
      <c r="AA12" s="45">
        <f>AA13/AA11</f>
        <v>0.5161290322580645</v>
      </c>
      <c r="AB12" s="45">
        <f>IF(AB$7=$A13,INDEX(Calculations!$B$3:$I$22,MATCH('Slide output'!$A13,Calculations!$B$3:$B$22,0),MATCH('Slide output'!AB$8,Calculations!$B$3:$I$3,0)),$C12)</f>
        <v>0.5161290322580645</v>
      </c>
      <c r="AC12" s="137"/>
      <c r="AD12" s="45">
        <f>IF(AD$7=$A13,INDEX(Calculations!$B$3:$I$22,MATCH('Slide output'!$A13,Calculations!$B$3:$B$22,0),MATCH('Slide output'!AD$8,Calculations!$B$3:$I$3,0)),$C12)</f>
        <v>0.5161290322580645</v>
      </c>
      <c r="AE12" s="137"/>
      <c r="AF12" s="137"/>
      <c r="AH12" s="132" t="s">
        <v>156</v>
      </c>
      <c r="AI12" s="45">
        <f>AI13/AI11</f>
        <v>0.5161290322580645</v>
      </c>
      <c r="AJ12" s="45">
        <f>IF(AJ$7=$A13,INDEX(Calculations!$B$3:$I$22,MATCH('Slide output'!$A13,Calculations!$B$3:$B$22,0),MATCH('Slide output'!AJ$8,Calculations!$B$3:$I$3,0)),$C12)</f>
        <v>0.5161290322580645</v>
      </c>
      <c r="AK12" s="137"/>
      <c r="AL12" s="45">
        <f>IF(AL$7=$A13,INDEX(Calculations!$B$3:$I$22,MATCH('Slide output'!$A13,Calculations!$B$3:$B$22,0),MATCH('Slide output'!AL$8,Calculations!$B$3:$I$3,0)),$C12)</f>
        <v>0.5161290322580645</v>
      </c>
      <c r="AM12" s="137"/>
      <c r="AN12" s="137"/>
      <c r="AP12" s="132" t="s">
        <v>156</v>
      </c>
      <c r="AQ12" s="45">
        <f>AQ13/AQ11</f>
        <v>0.5161290322580645</v>
      </c>
      <c r="AR12" s="45">
        <f>IF(AR$7=$A13,INDEX(Calculations!$B$3:$I$22,MATCH('Slide output'!$A13,Calculations!$B$3:$B$22,0),MATCH('Slide output'!AR$8,Calculations!$B$3:$I$3,0)),$C12)</f>
        <v>0.5161290322580645</v>
      </c>
      <c r="AS12" s="137"/>
      <c r="AT12" s="45">
        <f>IF(AT$7=$A13,INDEX(Calculations!$B$3:$I$22,MATCH('Slide output'!$A13,Calculations!$B$3:$B$22,0),MATCH('Slide output'!AT$8,Calculations!$B$3:$I$3,0)),$C12)</f>
        <v>0.5161290322580645</v>
      </c>
      <c r="AU12" s="137"/>
      <c r="AV12" s="137"/>
      <c r="AX12" s="132" t="s">
        <v>156</v>
      </c>
      <c r="AY12" s="45">
        <f>AY13/AY11</f>
        <v>0.5161290322580645</v>
      </c>
      <c r="AZ12" s="45">
        <f>IF(AZ$7=$A13,INDEX(Calculations!$B$3:$I$22,MATCH('Slide output'!$A13,Calculations!$B$3:$B$22,0),MATCH('Slide output'!AZ$8,Calculations!$B$3:$I$3,0)),$C12)</f>
        <v>0.5161290322580645</v>
      </c>
      <c r="BA12" s="137"/>
      <c r="BB12" s="45">
        <f>IF(BB$7=$A13,INDEX(Calculations!$B$3:$I$22,MATCH('Slide output'!$A13,Calculations!$B$3:$B$22,0),MATCH('Slide output'!BB$8,Calculations!$B$3:$I$3,0)),$C12)</f>
        <v>0.5161290322580645</v>
      </c>
      <c r="BC12" s="137"/>
      <c r="BD12" s="137"/>
    </row>
    <row r="13" spans="1:56" hidden="1">
      <c r="A13" s="38" t="s">
        <v>164</v>
      </c>
      <c r="B13" s="54" t="s">
        <v>124</v>
      </c>
      <c r="C13" s="113">
        <f>INDEX(Calculations!$B$3:$I$22,MATCH('Slide output'!$A13,Calculations!$B$3:$B$22,0)+1,MATCH('Slide output'!C$8,Calculations!$B$3:$I$3,0))/10^6</f>
        <v>3.4408602150537635</v>
      </c>
      <c r="D13" s="113">
        <f>D11*D12</f>
        <v>3.3723870967741933</v>
      </c>
      <c r="E13" s="140">
        <f>D13-C13</f>
        <v>-6.8473118279570144E-2</v>
      </c>
      <c r="F13" s="113">
        <f>F12*F11</f>
        <v>3.3052765935483874</v>
      </c>
      <c r="G13" s="143">
        <f>F13-D13</f>
        <v>-6.7110503225805918E-2</v>
      </c>
      <c r="H13" s="144">
        <f>F13-C13</f>
        <v>-0.13558362150537606</v>
      </c>
      <c r="I13" s="128"/>
      <c r="J13" s="54" t="s">
        <v>124</v>
      </c>
      <c r="K13" s="113">
        <f>INDEX(Calculations!$B$3:$I$22,MATCH('Slide output'!$A13,Calculations!$B$3:$B$22,0)+1,MATCH('Slide output'!K$8,Calculations!$B$3:$I$3,0))/10^6</f>
        <v>3.4408602150537635</v>
      </c>
      <c r="L13" s="113">
        <f>L11*L12</f>
        <v>3.78494623655914</v>
      </c>
      <c r="M13" s="140">
        <f>L13-K13</f>
        <v>0.34408602150537648</v>
      </c>
      <c r="N13" s="113">
        <f>N12*N11</f>
        <v>4.3010752688172049</v>
      </c>
      <c r="O13" s="143">
        <f>N13-L13</f>
        <v>0.51612903225806495</v>
      </c>
      <c r="P13" s="144">
        <f>N13-K13</f>
        <v>0.86021505376344143</v>
      </c>
      <c r="R13" s="54" t="s">
        <v>124</v>
      </c>
      <c r="S13" s="113">
        <f>INDEX(Calculations!$B$3:$I$22,MATCH('Slide output'!$A13,Calculations!$B$3:$B$22,0)+1,MATCH('Slide output'!S$8,Calculations!$B$3:$I$3,0))/10^6</f>
        <v>3.4408602150537635</v>
      </c>
      <c r="T13" s="113">
        <f>T11*T12</f>
        <v>3.4408602150537635</v>
      </c>
      <c r="U13" s="140">
        <f>T13-S13</f>
        <v>0</v>
      </c>
      <c r="V13" s="113">
        <f>V12*V11</f>
        <v>3.7516612903225819</v>
      </c>
      <c r="W13" s="143">
        <f>V13-T13</f>
        <v>0.31080107526881839</v>
      </c>
      <c r="X13" s="144">
        <f>V13-S13</f>
        <v>0.31080107526881839</v>
      </c>
      <c r="Z13" s="54" t="s">
        <v>124</v>
      </c>
      <c r="AA13" s="113">
        <f>INDEX(Calculations!$B$3:$I$22,MATCH('Slide output'!$A13,Calculations!$B$3:$B$22,0)+1,MATCH('Slide output'!AA$8,Calculations!$B$3:$I$3,0))/10^6</f>
        <v>3.4408602150537635</v>
      </c>
      <c r="AB13" s="113">
        <f>AB11*AB12</f>
        <v>3.4408602150537635</v>
      </c>
      <c r="AC13" s="140">
        <f>AB13-AA13</f>
        <v>0</v>
      </c>
      <c r="AD13" s="113">
        <f>AD12*AD11</f>
        <v>3.4408602150537635</v>
      </c>
      <c r="AE13" s="143">
        <f>AD13-AB13</f>
        <v>0</v>
      </c>
      <c r="AF13" s="144">
        <f>AD13-AA13</f>
        <v>0</v>
      </c>
      <c r="AH13" s="54" t="s">
        <v>124</v>
      </c>
      <c r="AI13" s="113">
        <f>INDEX(Calculations!$B$3:$I$22,MATCH('Slide output'!$A13,Calculations!$B$3:$B$22,0)+1,MATCH('Slide output'!AI$8,Calculations!$B$3:$I$3,0))/10^6</f>
        <v>3.4408602150537635</v>
      </c>
      <c r="AJ13" s="113">
        <f>AJ11*AJ12</f>
        <v>3.4408602150537635</v>
      </c>
      <c r="AK13" s="140">
        <f>AJ13-AI13</f>
        <v>0</v>
      </c>
      <c r="AL13" s="113">
        <f>AL12*AL11</f>
        <v>3.4408602150537635</v>
      </c>
      <c r="AM13" s="143">
        <f>AL13-AJ13</f>
        <v>0</v>
      </c>
      <c r="AN13" s="144">
        <f>AL13-AI13</f>
        <v>0</v>
      </c>
      <c r="AP13" s="54" t="s">
        <v>124</v>
      </c>
      <c r="AQ13" s="113">
        <f>INDEX(Calculations!$B$3:$I$22,MATCH('Slide output'!$A13,Calculations!$B$3:$B$22,0)+1,MATCH('Slide output'!AQ$8,Calculations!$B$3:$I$3,0))/10^6</f>
        <v>3.4408602150537635</v>
      </c>
      <c r="AR13" s="113">
        <f>AR11*AR12</f>
        <v>3.4408602150537635</v>
      </c>
      <c r="AS13" s="140">
        <f>AR13-AQ13</f>
        <v>0</v>
      </c>
      <c r="AT13" s="113">
        <f>AT12*AT11</f>
        <v>3.4408602150537635</v>
      </c>
      <c r="AU13" s="143">
        <f>AT13-AR13</f>
        <v>0</v>
      </c>
      <c r="AV13" s="144">
        <f>AT13-AQ13</f>
        <v>0</v>
      </c>
      <c r="AX13" s="54" t="s">
        <v>124</v>
      </c>
      <c r="AY13" s="113">
        <f>INDEX(Calculations!$B$3:$I$22,MATCH('Slide output'!$A13,Calculations!$B$3:$B$22,0)+1,MATCH('Slide output'!AY$8,Calculations!$B$3:$I$3,0))/10^6</f>
        <v>3.4408602150537635</v>
      </c>
      <c r="AZ13" s="113">
        <f>AZ11*AZ12</f>
        <v>3.4408602150537635</v>
      </c>
      <c r="BA13" s="140">
        <f>AZ13-AY13</f>
        <v>0</v>
      </c>
      <c r="BB13" s="113">
        <f>BB12*BB11</f>
        <v>3.4408602150537635</v>
      </c>
      <c r="BC13" s="143">
        <f>BB13-AZ13</f>
        <v>0</v>
      </c>
      <c r="BD13" s="144">
        <f>BB13-AY13</f>
        <v>0</v>
      </c>
    </row>
    <row r="14" spans="1:56" hidden="1">
      <c r="B14" s="132" t="s">
        <v>156</v>
      </c>
      <c r="C14" s="45">
        <f>C15/C13</f>
        <v>0.93000000000000016</v>
      </c>
      <c r="D14" s="45">
        <f>IF(D$7=$A15,INDEX(Calculations!$B$3:$I$22,MATCH('Slide output'!$A15,Calculations!$B$3:$B$22,0),MATCH('Slide output'!D$8,Calculations!$B$3:$I$3,0)),$C14)</f>
        <v>0.93000000000000016</v>
      </c>
      <c r="E14" s="137"/>
      <c r="F14" s="45">
        <f>IF(F$7=$A15,INDEX(Calculations!$B$3:$I$22,MATCH('Slide output'!$A15,Calculations!$B$3:$B$22,0),MATCH('Slide output'!F$8,Calculations!$B$3:$I$3,0)),$C14)</f>
        <v>0.93000000000000016</v>
      </c>
      <c r="G14" s="137"/>
      <c r="H14" s="137"/>
      <c r="I14" s="1"/>
      <c r="J14" s="132" t="s">
        <v>156</v>
      </c>
      <c r="K14" s="45">
        <f>K15/K13</f>
        <v>0.93000000000000016</v>
      </c>
      <c r="L14" s="45">
        <f>IF(L$7=$A15,INDEX(Calculations!$B$3:$I$22,MATCH('Slide output'!$A15,Calculations!$B$3:$B$22,0),MATCH('Slide output'!L$8,Calculations!$B$3:$I$3,0)),$C14)</f>
        <v>0.93000000000000016</v>
      </c>
      <c r="M14" s="137"/>
      <c r="N14" s="45">
        <f>IF(N$7=$A15,INDEX(Calculations!$B$3:$I$22,MATCH('Slide output'!$A15,Calculations!$B$3:$B$22,0),MATCH('Slide output'!N$8,Calculations!$B$3:$I$3,0)),$C14)</f>
        <v>0.93000000000000016</v>
      </c>
      <c r="O14" s="137"/>
      <c r="P14" s="137"/>
      <c r="R14" s="132" t="s">
        <v>156</v>
      </c>
      <c r="S14" s="45">
        <f>S15/S13</f>
        <v>0.93000000000000016</v>
      </c>
      <c r="T14" s="45">
        <f>IF(T$7=$A15,INDEX(Calculations!$B$3:$I$22,MATCH('Slide output'!$A15,Calculations!$B$3:$B$22,0),MATCH('Slide output'!T$8,Calculations!$B$3:$I$3,0)),$C14)</f>
        <v>0.93000000000000016</v>
      </c>
      <c r="U14" s="137"/>
      <c r="V14" s="45">
        <f>IF(V$7=$A15,INDEX(Calculations!$B$3:$I$22,MATCH('Slide output'!$A15,Calculations!$B$3:$B$22,0),MATCH('Slide output'!V$8,Calculations!$B$3:$I$3,0)),$C14)</f>
        <v>0.93000000000000016</v>
      </c>
      <c r="W14" s="137"/>
      <c r="X14" s="137"/>
      <c r="Z14" s="132" t="s">
        <v>156</v>
      </c>
      <c r="AA14" s="45">
        <f>AA15/AA13</f>
        <v>0.93000000000000016</v>
      </c>
      <c r="AB14" s="45">
        <f>IF(AB$7=$A15,INDEX(Calculations!$B$3:$I$22,MATCH('Slide output'!$A15,Calculations!$B$3:$B$22,0),MATCH('Slide output'!AB$8,Calculations!$B$3:$I$3,0)),$C14)</f>
        <v>0.92641873278236919</v>
      </c>
      <c r="AC14" s="137"/>
      <c r="AD14" s="45">
        <f>IF(AD$7=$A15,INDEX(Calculations!$B$3:$I$22,MATCH('Slide output'!$A15,Calculations!$B$3:$B$22,0),MATCH('Slide output'!AD$8,Calculations!$B$3:$I$3,0)),$C14)</f>
        <v>1</v>
      </c>
      <c r="AE14" s="137"/>
      <c r="AF14" s="137"/>
      <c r="AH14" s="132" t="s">
        <v>156</v>
      </c>
      <c r="AI14" s="45">
        <f>AI15/AI13</f>
        <v>0.93000000000000016</v>
      </c>
      <c r="AJ14" s="45">
        <f>IF(AJ$7=$A15,INDEX(Calculations!$B$3:$I$22,MATCH('Slide output'!$A15,Calculations!$B$3:$B$22,0),MATCH('Slide output'!AJ$8,Calculations!$B$3:$I$3,0)),$C14)</f>
        <v>0.93000000000000016</v>
      </c>
      <c r="AK14" s="137"/>
      <c r="AL14" s="45">
        <f>IF(AL$7=$A15,INDEX(Calculations!$B$3:$I$22,MATCH('Slide output'!$A15,Calculations!$B$3:$B$22,0),MATCH('Slide output'!AL$8,Calculations!$B$3:$I$3,0)),$C14)</f>
        <v>0.93000000000000016</v>
      </c>
      <c r="AM14" s="137"/>
      <c r="AN14" s="137"/>
      <c r="AP14" s="132" t="s">
        <v>156</v>
      </c>
      <c r="AQ14" s="45">
        <f>AQ15/AQ13</f>
        <v>0.93000000000000016</v>
      </c>
      <c r="AR14" s="45">
        <f>IF(AR$7=$A15,INDEX(Calculations!$B$3:$I$22,MATCH('Slide output'!$A15,Calculations!$B$3:$B$22,0),MATCH('Slide output'!AR$8,Calculations!$B$3:$I$3,0)),$C14)</f>
        <v>0.93000000000000016</v>
      </c>
      <c r="AS14" s="137"/>
      <c r="AT14" s="45">
        <f>IF(AT$7=$A15,INDEX(Calculations!$B$3:$I$22,MATCH('Slide output'!$A15,Calculations!$B$3:$B$22,0),MATCH('Slide output'!AT$8,Calculations!$B$3:$I$3,0)),$C14)</f>
        <v>0.93000000000000016</v>
      </c>
      <c r="AU14" s="137"/>
      <c r="AV14" s="137"/>
      <c r="AX14" s="132" t="s">
        <v>156</v>
      </c>
      <c r="AY14" s="45">
        <f>AY15/AY13</f>
        <v>0.93000000000000016</v>
      </c>
      <c r="AZ14" s="45">
        <f>IF(AZ$7=$A15,INDEX(Calculations!$B$3:$I$22,MATCH('Slide output'!$A15,Calculations!$B$3:$B$22,0),MATCH('Slide output'!AZ$8,Calculations!$B$3:$I$3,0)),$C14)</f>
        <v>0.93000000000000016</v>
      </c>
      <c r="BA14" s="137"/>
      <c r="BB14" s="45">
        <f>IF(BB$7=$A15,INDEX(Calculations!$B$3:$I$22,MATCH('Slide output'!$A15,Calculations!$B$3:$B$22,0),MATCH('Slide output'!BB$8,Calculations!$B$3:$I$3,0)),$C14)</f>
        <v>0.93000000000000016</v>
      </c>
      <c r="BC14" s="137"/>
      <c r="BD14" s="137"/>
    </row>
    <row r="15" spans="1:56" hidden="1">
      <c r="A15" s="38" t="s">
        <v>165</v>
      </c>
      <c r="B15" s="54" t="s">
        <v>161</v>
      </c>
      <c r="C15" s="113">
        <f>INDEX(Calculations!$B$3:$I$22,MATCH('Slide output'!$A15,Calculations!$B$3:$B$22,0)+1,MATCH('Slide output'!C$8,Calculations!$B$3:$I$3,0))/10^6</f>
        <v>3.2000000000000006</v>
      </c>
      <c r="D15" s="113">
        <f>D13*D14</f>
        <v>3.1363200000000004</v>
      </c>
      <c r="E15" s="140">
        <f>D15-C15</f>
        <v>-6.3680000000000181E-2</v>
      </c>
      <c r="F15" s="113">
        <f>F14*F13</f>
        <v>3.0739072320000007</v>
      </c>
      <c r="G15" s="143">
        <f>F15-D15</f>
        <v>-6.241276799999973E-2</v>
      </c>
      <c r="H15" s="144">
        <f>F15-C15</f>
        <v>-0.12609276799999991</v>
      </c>
      <c r="I15" s="128"/>
      <c r="J15" s="54" t="s">
        <v>161</v>
      </c>
      <c r="K15" s="113">
        <f>INDEX(Calculations!$B$3:$I$22,MATCH('Slide output'!$A15,Calculations!$B$3:$B$22,0)+1,MATCH('Slide output'!K$8,Calculations!$B$3:$I$3,0))/10^6</f>
        <v>3.2000000000000006</v>
      </c>
      <c r="L15" s="113">
        <f>L13*L14</f>
        <v>3.5200000000000009</v>
      </c>
      <c r="M15" s="140">
        <f>L15-K15</f>
        <v>0.32000000000000028</v>
      </c>
      <c r="N15" s="113">
        <f>N14*N13</f>
        <v>4.0000000000000009</v>
      </c>
      <c r="O15" s="143">
        <f>N15-L15</f>
        <v>0.48</v>
      </c>
      <c r="P15" s="144">
        <f>N15-K15</f>
        <v>0.80000000000000027</v>
      </c>
      <c r="R15" s="54" t="s">
        <v>161</v>
      </c>
      <c r="S15" s="113">
        <f>INDEX(Calculations!$B$3:$I$22,MATCH('Slide output'!$A15,Calculations!$B$3:$B$22,0)+1,MATCH('Slide output'!S$8,Calculations!$B$3:$I$3,0))/10^6</f>
        <v>3.2000000000000006</v>
      </c>
      <c r="T15" s="113">
        <f>T13*T14</f>
        <v>3.2000000000000006</v>
      </c>
      <c r="U15" s="140">
        <f>T15-S15</f>
        <v>0</v>
      </c>
      <c r="V15" s="113">
        <f>V14*V13</f>
        <v>3.4890450000000017</v>
      </c>
      <c r="W15" s="143">
        <f>V15-T15</f>
        <v>0.28904500000000111</v>
      </c>
      <c r="X15" s="144">
        <f>V15-S15</f>
        <v>0.28904500000000111</v>
      </c>
      <c r="Z15" s="54" t="s">
        <v>161</v>
      </c>
      <c r="AA15" s="113">
        <f>INDEX(Calculations!$B$3:$I$22,MATCH('Slide output'!$A15,Calculations!$B$3:$B$22,0)+1,MATCH('Slide output'!AA$8,Calculations!$B$3:$I$3,0))/10^6</f>
        <v>3.2000000000000006</v>
      </c>
      <c r="AB15" s="113">
        <f>AB13*AB14</f>
        <v>3.1876773601113779</v>
      </c>
      <c r="AC15" s="140">
        <f>AB15-AA15</f>
        <v>-1.23226398886227E-2</v>
      </c>
      <c r="AD15" s="113">
        <f>AD14*AD13</f>
        <v>3.4408602150537635</v>
      </c>
      <c r="AE15" s="143">
        <f>AD15-AB15</f>
        <v>0.25318285494238557</v>
      </c>
      <c r="AF15" s="144">
        <f>AD15-AA15</f>
        <v>0.24086021505376287</v>
      </c>
      <c r="AH15" s="54" t="s">
        <v>161</v>
      </c>
      <c r="AI15" s="113">
        <f>INDEX(Calculations!$B$3:$I$22,MATCH('Slide output'!$A15,Calculations!$B$3:$B$22,0)+1,MATCH('Slide output'!AI$8,Calculations!$B$3:$I$3,0))/10^6</f>
        <v>3.2000000000000006</v>
      </c>
      <c r="AJ15" s="113">
        <f>AJ13*AJ14</f>
        <v>3.2000000000000006</v>
      </c>
      <c r="AK15" s="140">
        <f>AJ15-AI15</f>
        <v>0</v>
      </c>
      <c r="AL15" s="113">
        <f>AL14*AL13</f>
        <v>3.2000000000000006</v>
      </c>
      <c r="AM15" s="143">
        <f>AL15-AJ15</f>
        <v>0</v>
      </c>
      <c r="AN15" s="144">
        <f>AL15-AI15</f>
        <v>0</v>
      </c>
      <c r="AP15" s="54" t="s">
        <v>161</v>
      </c>
      <c r="AQ15" s="113">
        <f>INDEX(Calculations!$B$3:$I$22,MATCH('Slide output'!$A15,Calculations!$B$3:$B$22,0)+1,MATCH('Slide output'!AQ$8,Calculations!$B$3:$I$3,0))/10^6</f>
        <v>3.2000000000000006</v>
      </c>
      <c r="AR15" s="113">
        <f>AR13*AR14</f>
        <v>3.2000000000000006</v>
      </c>
      <c r="AS15" s="140">
        <f>AR15-AQ15</f>
        <v>0</v>
      </c>
      <c r="AT15" s="113">
        <f>AT14*AT13</f>
        <v>3.2000000000000006</v>
      </c>
      <c r="AU15" s="143">
        <f>AT15-AR15</f>
        <v>0</v>
      </c>
      <c r="AV15" s="144">
        <f>AT15-AQ15</f>
        <v>0</v>
      </c>
      <c r="AX15" s="54" t="s">
        <v>161</v>
      </c>
      <c r="AY15" s="113">
        <f>INDEX(Calculations!$B$3:$I$22,MATCH('Slide output'!$A15,Calculations!$B$3:$B$22,0)+1,MATCH('Slide output'!AY$8,Calculations!$B$3:$I$3,0))/10^6</f>
        <v>3.2000000000000006</v>
      </c>
      <c r="AZ15" s="113">
        <f>AZ13*AZ14</f>
        <v>3.2000000000000006</v>
      </c>
      <c r="BA15" s="140">
        <f>AZ15-AY15</f>
        <v>0</v>
      </c>
      <c r="BB15" s="113">
        <f>BB14*BB13</f>
        <v>3.2000000000000006</v>
      </c>
      <c r="BC15" s="143">
        <f>BB15-AZ15</f>
        <v>0</v>
      </c>
      <c r="BD15" s="144">
        <f>BB15-AY15</f>
        <v>0</v>
      </c>
    </row>
    <row r="16" spans="1:56" s="1" customFormat="1" hidden="1">
      <c r="A16" s="38"/>
      <c r="B16" s="132" t="s">
        <v>156</v>
      </c>
      <c r="C16" s="45">
        <f>C17/C15</f>
        <v>0.99999999999999989</v>
      </c>
      <c r="D16" s="45">
        <f>IF(D$7=$A17,INDEX(Calculations!$B$3:$I$22,MATCH('Slide output'!$A17,Calculations!$B$3:$B$22,0),MATCH('Slide output'!D$8,Calculations!$B$3:$I$3,0)),$C16)</f>
        <v>0.99999999999999989</v>
      </c>
      <c r="E16" s="137"/>
      <c r="F16" s="45">
        <f>IF(F$7=$A17,INDEX(Calculations!$B$3:$I$22,MATCH('Slide output'!$A17,Calculations!$B$3:$B$22,0),MATCH('Slide output'!F$8,Calculations!$B$3:$I$3,0)),$C16)</f>
        <v>0.99999999999999989</v>
      </c>
      <c r="G16" s="137"/>
      <c r="H16" s="137"/>
      <c r="J16" s="132" t="s">
        <v>156</v>
      </c>
      <c r="K16" s="45">
        <f>K17/K15</f>
        <v>0.99999999999999989</v>
      </c>
      <c r="L16" s="45">
        <f>IF(L$7=$A17,INDEX(Calculations!$B$3:$I$22,MATCH('Slide output'!$A17,Calculations!$B$3:$B$22,0),MATCH('Slide output'!L$8,Calculations!$B$3:$I$3,0)),$C16)</f>
        <v>0.99999999999999989</v>
      </c>
      <c r="M16" s="137"/>
      <c r="N16" s="45">
        <f>IF(N$7=$A17,INDEX(Calculations!$B$3:$I$22,MATCH('Slide output'!$A17,Calculations!$B$3:$B$22,0),MATCH('Slide output'!N$8,Calculations!$B$3:$I$3,0)),$C16)</f>
        <v>0.99999999999999989</v>
      </c>
      <c r="O16" s="137"/>
      <c r="P16" s="137"/>
      <c r="R16" s="132" t="s">
        <v>156</v>
      </c>
      <c r="S16" s="45">
        <f>S17/S15</f>
        <v>0.99999999999999989</v>
      </c>
      <c r="T16" s="45">
        <f>IF(T$7=$A17,INDEX(Calculations!$B$3:$I$22,MATCH('Slide output'!$A17,Calculations!$B$3:$B$22,0),MATCH('Slide output'!T$8,Calculations!$B$3:$I$3,0)),$C16)</f>
        <v>0.99999999999999989</v>
      </c>
      <c r="U16" s="137"/>
      <c r="V16" s="45">
        <f>IF(V$7=$A17,INDEX(Calculations!$B$3:$I$22,MATCH('Slide output'!$A17,Calculations!$B$3:$B$22,0),MATCH('Slide output'!V$8,Calculations!$B$3:$I$3,0)),$C16)</f>
        <v>0.99999999999999989</v>
      </c>
      <c r="W16" s="137"/>
      <c r="X16" s="137"/>
      <c r="Z16" s="132" t="s">
        <v>156</v>
      </c>
      <c r="AA16" s="45">
        <f>AA17/AA15</f>
        <v>0.99999999999999989</v>
      </c>
      <c r="AB16" s="45">
        <f>IF(AB$7=$A17,INDEX(Calculations!$B$3:$I$22,MATCH('Slide output'!$A17,Calculations!$B$3:$B$22,0),MATCH('Slide output'!AB$8,Calculations!$B$3:$I$3,0)),$C16)</f>
        <v>0.99999999999999989</v>
      </c>
      <c r="AC16" s="137"/>
      <c r="AD16" s="45">
        <f>IF(AD$7=$A17,INDEX(Calculations!$B$3:$I$22,MATCH('Slide output'!$A17,Calculations!$B$3:$B$22,0),MATCH('Slide output'!AD$8,Calculations!$B$3:$I$3,0)),$C16)</f>
        <v>0.99999999999999989</v>
      </c>
      <c r="AE16" s="137"/>
      <c r="AF16" s="137"/>
      <c r="AH16" s="132" t="s">
        <v>156</v>
      </c>
      <c r="AI16" s="45">
        <f>AI17/AI15</f>
        <v>0.99999999999999989</v>
      </c>
      <c r="AJ16" s="45">
        <f>IF(AJ$7=$A17,INDEX(Calculations!$B$3:$I$22,MATCH('Slide output'!$A17,Calculations!$B$3:$B$22,0),MATCH('Slide output'!AJ$8,Calculations!$B$3:$I$3,0)),$C16)</f>
        <v>0.99613428885783106</v>
      </c>
      <c r="AK16" s="137"/>
      <c r="AL16" s="45">
        <f>IF(AL$7=$A17,INDEX(Calculations!$B$3:$I$22,MATCH('Slide output'!$A17,Calculations!$B$3:$B$22,0),MATCH('Slide output'!AL$8,Calculations!$B$3:$I$3,0)),$C16)</f>
        <v>1</v>
      </c>
      <c r="AM16" s="137"/>
      <c r="AN16" s="137"/>
      <c r="AP16" s="132" t="s">
        <v>156</v>
      </c>
      <c r="AQ16" s="45">
        <f>AQ17/AQ15</f>
        <v>0.99999999999999989</v>
      </c>
      <c r="AR16" s="45">
        <f>IF(AR$7=$A17,INDEX(Calculations!$B$3:$I$22,MATCH('Slide output'!$A17,Calculations!$B$3:$B$22,0),MATCH('Slide output'!AR$8,Calculations!$B$3:$I$3,0)),$C16)</f>
        <v>0.99999999999999989</v>
      </c>
      <c r="AS16" s="137"/>
      <c r="AT16" s="45">
        <f>IF(AT$7=$A17,INDEX(Calculations!$B$3:$I$22,MATCH('Slide output'!$A17,Calculations!$B$3:$B$22,0),MATCH('Slide output'!AT$8,Calculations!$B$3:$I$3,0)),$C16)</f>
        <v>0.99999999999999989</v>
      </c>
      <c r="AU16" s="137"/>
      <c r="AV16" s="137"/>
      <c r="AX16" s="132" t="s">
        <v>156</v>
      </c>
      <c r="AY16" s="45">
        <f>AY17/AY15</f>
        <v>0.99999999999999989</v>
      </c>
      <c r="AZ16" s="45">
        <f>IF(AZ$7=$A17,INDEX(Calculations!$B$3:$I$22,MATCH('Slide output'!$A17,Calculations!$B$3:$B$22,0),MATCH('Slide output'!AZ$8,Calculations!$B$3:$I$3,0)),$C16)</f>
        <v>0.99999999999999989</v>
      </c>
      <c r="BA16" s="137"/>
      <c r="BB16" s="45">
        <f>IF(BB$7=$A17,INDEX(Calculations!$B$3:$I$22,MATCH('Slide output'!$A17,Calculations!$B$3:$B$22,0),MATCH('Slide output'!BB$8,Calculations!$B$3:$I$3,0)),$C16)</f>
        <v>0.99999999999999989</v>
      </c>
      <c r="BC16" s="137"/>
      <c r="BD16" s="137"/>
    </row>
    <row r="17" spans="1:56" s="1" customFormat="1" hidden="1">
      <c r="A17" s="38" t="s">
        <v>166</v>
      </c>
      <c r="B17" s="54" t="s">
        <v>162</v>
      </c>
      <c r="C17" s="113">
        <f>INDEX(Calculations!$B$3:$I$22,MATCH('Slide output'!$A17,Calculations!$B$3:$B$22,0)+1,MATCH('Slide output'!C$8,Calculations!$B$3:$I$3,0))/10^6</f>
        <v>3.2</v>
      </c>
      <c r="D17" s="113">
        <f>D15*D16</f>
        <v>3.13632</v>
      </c>
      <c r="E17" s="140">
        <f>D17-C17</f>
        <v>-6.3680000000000181E-2</v>
      </c>
      <c r="F17" s="113">
        <f>F16*F15</f>
        <v>3.0739072320000003</v>
      </c>
      <c r="G17" s="143">
        <f>F17-D17</f>
        <v>-6.241276799999973E-2</v>
      </c>
      <c r="H17" s="144">
        <f>F17-C17</f>
        <v>-0.12609276799999991</v>
      </c>
      <c r="I17" s="128"/>
      <c r="J17" s="54" t="s">
        <v>162</v>
      </c>
      <c r="K17" s="113">
        <f>INDEX(Calculations!$B$3:$I$22,MATCH('Slide output'!$A17,Calculations!$B$3:$B$22,0)+1,MATCH('Slide output'!K$8,Calculations!$B$3:$I$3,0))/10^6</f>
        <v>3.2</v>
      </c>
      <c r="L17" s="113">
        <f>L15*L16</f>
        <v>3.5200000000000005</v>
      </c>
      <c r="M17" s="140">
        <f>L17-K17</f>
        <v>0.32000000000000028</v>
      </c>
      <c r="N17" s="113">
        <f>N16*N15</f>
        <v>4</v>
      </c>
      <c r="O17" s="143">
        <f>N17-L17</f>
        <v>0.47999999999999954</v>
      </c>
      <c r="P17" s="144">
        <f>N17-K17</f>
        <v>0.79999999999999982</v>
      </c>
      <c r="R17" s="54" t="s">
        <v>162</v>
      </c>
      <c r="S17" s="113">
        <f>INDEX(Calculations!$B$3:$I$22,MATCH('Slide output'!$A17,Calculations!$B$3:$B$22,0)+1,MATCH('Slide output'!S$8,Calculations!$B$3:$I$3,0))/10^6</f>
        <v>3.2</v>
      </c>
      <c r="T17" s="113">
        <f>T15*T16</f>
        <v>3.2</v>
      </c>
      <c r="U17" s="140">
        <f>T17-S17</f>
        <v>0</v>
      </c>
      <c r="V17" s="113">
        <f>V16*V15</f>
        <v>3.4890450000000013</v>
      </c>
      <c r="W17" s="143">
        <f>V17-T17</f>
        <v>0.28904500000000111</v>
      </c>
      <c r="X17" s="144">
        <f>V17-S17</f>
        <v>0.28904500000000111</v>
      </c>
      <c r="Z17" s="54" t="s">
        <v>162</v>
      </c>
      <c r="AA17" s="113">
        <f>INDEX(Calculations!$B$3:$I$22,MATCH('Slide output'!$A17,Calculations!$B$3:$B$22,0)+1,MATCH('Slide output'!AA$8,Calculations!$B$3:$I$3,0))/10^6</f>
        <v>3.2</v>
      </c>
      <c r="AB17" s="113">
        <f>AB15*AB16</f>
        <v>3.1876773601113775</v>
      </c>
      <c r="AC17" s="140">
        <f>AB17-AA17</f>
        <v>-1.23226398886227E-2</v>
      </c>
      <c r="AD17" s="113">
        <f>AD16*AD15</f>
        <v>3.440860215053763</v>
      </c>
      <c r="AE17" s="143">
        <f>AD17-AB17</f>
        <v>0.25318285494238557</v>
      </c>
      <c r="AF17" s="144">
        <f>AD17-AA17</f>
        <v>0.24086021505376287</v>
      </c>
      <c r="AH17" s="54" t="s">
        <v>162</v>
      </c>
      <c r="AI17" s="113">
        <f>INDEX(Calculations!$B$3:$I$22,MATCH('Slide output'!$A17,Calculations!$B$3:$B$22,0)+1,MATCH('Slide output'!AI$8,Calculations!$B$3:$I$3,0))/10^6</f>
        <v>3.2</v>
      </c>
      <c r="AJ17" s="113">
        <f>AJ15*AJ16</f>
        <v>3.1876297243450602</v>
      </c>
      <c r="AK17" s="140">
        <f>AJ17-AI17</f>
        <v>-1.2370275654939977E-2</v>
      </c>
      <c r="AL17" s="113">
        <f>AL16*AL15</f>
        <v>3.2000000000000006</v>
      </c>
      <c r="AM17" s="143">
        <f>AL17-AJ17</f>
        <v>1.2370275654940421E-2</v>
      </c>
      <c r="AN17" s="144">
        <f>AL17-AI17</f>
        <v>0</v>
      </c>
      <c r="AP17" s="54" t="s">
        <v>162</v>
      </c>
      <c r="AQ17" s="113">
        <f>INDEX(Calculations!$B$3:$I$22,MATCH('Slide output'!$A17,Calculations!$B$3:$B$22,0)+1,MATCH('Slide output'!AQ$8,Calculations!$B$3:$I$3,0))/10^6</f>
        <v>3.2</v>
      </c>
      <c r="AR17" s="113">
        <f>AR15*AR16</f>
        <v>3.2</v>
      </c>
      <c r="AS17" s="140">
        <f>AR17-AQ17</f>
        <v>0</v>
      </c>
      <c r="AT17" s="113">
        <f>AT16*AT15</f>
        <v>3.2</v>
      </c>
      <c r="AU17" s="143">
        <f>AT17-AR17</f>
        <v>0</v>
      </c>
      <c r="AV17" s="144">
        <f>AT17-AQ17</f>
        <v>0</v>
      </c>
      <c r="AX17" s="54" t="s">
        <v>162</v>
      </c>
      <c r="AY17" s="113">
        <f>INDEX(Calculations!$B$3:$I$22,MATCH('Slide output'!$A17,Calculations!$B$3:$B$22,0)+1,MATCH('Slide output'!AY$8,Calculations!$B$3:$I$3,0))/10^6</f>
        <v>3.2</v>
      </c>
      <c r="AZ17" s="113">
        <f>AZ15*AZ16</f>
        <v>3.2</v>
      </c>
      <c r="BA17" s="140">
        <f>AZ17-AY17</f>
        <v>0</v>
      </c>
      <c r="BB17" s="113">
        <f>BB16*BB15</f>
        <v>3.2</v>
      </c>
      <c r="BC17" s="143">
        <f>BB17-AZ17</f>
        <v>0</v>
      </c>
      <c r="BD17" s="144">
        <f>BB17-AY17</f>
        <v>0</v>
      </c>
    </row>
    <row r="18" spans="1:56" hidden="1">
      <c r="B18" s="132" t="s">
        <v>156</v>
      </c>
      <c r="C18" s="45">
        <f>C19/C17</f>
        <v>0.91999999999999993</v>
      </c>
      <c r="D18" s="45">
        <f>IF(D$7=$A19,INDEX(Calculations!$B$3:$I$22,MATCH('Slide output'!$A19,Calculations!$B$3:$B$22,0),MATCH('Slide output'!D$8,Calculations!$B$3:$I$3,0)),$C18)</f>
        <v>0.91999999999999993</v>
      </c>
      <c r="E18" s="138"/>
      <c r="F18" s="45">
        <f>IF(F$7=$A19,INDEX(Calculations!$B$3:$I$22,MATCH('Slide output'!$A19,Calculations!$B$3:$B$22,0),MATCH('Slide output'!F$8,Calculations!$B$3:$I$3,0)),$C18)</f>
        <v>0.91999999999999993</v>
      </c>
      <c r="G18" s="138"/>
      <c r="H18" s="138"/>
      <c r="I18" s="1"/>
      <c r="J18" s="132" t="s">
        <v>156</v>
      </c>
      <c r="K18" s="45">
        <f>K19/K17</f>
        <v>0.91999999999999993</v>
      </c>
      <c r="L18" s="45">
        <f>IF(L$7=$A19,INDEX(Calculations!$B$3:$I$22,MATCH('Slide output'!$A19,Calculations!$B$3:$B$22,0),MATCH('Slide output'!L$8,Calculations!$B$3:$I$3,0)),$C18)</f>
        <v>0.91999999999999993</v>
      </c>
      <c r="M18" s="138"/>
      <c r="N18" s="45">
        <f>IF(N$7=$A19,INDEX(Calculations!$B$3:$I$22,MATCH('Slide output'!$A19,Calculations!$B$3:$B$22,0),MATCH('Slide output'!N$8,Calculations!$B$3:$I$3,0)),$C18)</f>
        <v>0.91999999999999993</v>
      </c>
      <c r="O18" s="138"/>
      <c r="P18" s="138"/>
      <c r="R18" s="132" t="s">
        <v>156</v>
      </c>
      <c r="S18" s="45">
        <f>S19/S17</f>
        <v>0.91999999999999993</v>
      </c>
      <c r="T18" s="45">
        <f>IF(T$7=$A19,INDEX(Calculations!$B$3:$I$22,MATCH('Slide output'!$A19,Calculations!$B$3:$B$22,0),MATCH('Slide output'!T$8,Calculations!$B$3:$I$3,0)),$C18)</f>
        <v>0.91999999999999993</v>
      </c>
      <c r="U18" s="138"/>
      <c r="V18" s="45">
        <f>IF(V$7=$A19,INDEX(Calculations!$B$3:$I$22,MATCH('Slide output'!$A19,Calculations!$B$3:$B$22,0),MATCH('Slide output'!V$8,Calculations!$B$3:$I$3,0)),$C18)</f>
        <v>0.91999999999999993</v>
      </c>
      <c r="W18" s="138"/>
      <c r="X18" s="138"/>
      <c r="Z18" s="132" t="s">
        <v>156</v>
      </c>
      <c r="AA18" s="45">
        <f>AA19/AA17</f>
        <v>0.91999999999999993</v>
      </c>
      <c r="AB18" s="45">
        <f>IF(AB$7=$A19,INDEX(Calculations!$B$3:$I$22,MATCH('Slide output'!$A19,Calculations!$B$3:$B$22,0),MATCH('Slide output'!AB$8,Calculations!$B$3:$I$3,0)),$C18)</f>
        <v>0.91999999999999993</v>
      </c>
      <c r="AC18" s="138"/>
      <c r="AD18" s="45">
        <f>IF(AD$7=$A19,INDEX(Calculations!$B$3:$I$22,MATCH('Slide output'!$A19,Calculations!$B$3:$B$22,0),MATCH('Slide output'!AD$8,Calculations!$B$3:$I$3,0)),$C18)</f>
        <v>0.91999999999999993</v>
      </c>
      <c r="AE18" s="138"/>
      <c r="AF18" s="138"/>
      <c r="AH18" s="132" t="s">
        <v>156</v>
      </c>
      <c r="AI18" s="45">
        <f>AI19/AI17</f>
        <v>0.91999999999999993</v>
      </c>
      <c r="AJ18" s="45">
        <f>IF(AJ$7=$A19,INDEX(Calculations!$B$3:$I$22,MATCH('Slide output'!$A19,Calculations!$B$3:$B$22,0),MATCH('Slide output'!AJ$8,Calculations!$B$3:$I$3,0)),$C18)</f>
        <v>0.91999999999999993</v>
      </c>
      <c r="AK18" s="138"/>
      <c r="AL18" s="45">
        <f>IF(AL$7=$A19,INDEX(Calculations!$B$3:$I$22,MATCH('Slide output'!$A19,Calculations!$B$3:$B$22,0),MATCH('Slide output'!AL$8,Calculations!$B$3:$I$3,0)),$C18)</f>
        <v>0.91999999999999993</v>
      </c>
      <c r="AM18" s="138"/>
      <c r="AN18" s="138"/>
      <c r="AP18" s="132" t="s">
        <v>156</v>
      </c>
      <c r="AQ18" s="45">
        <f>AQ19/AQ17</f>
        <v>0.91999999999999993</v>
      </c>
      <c r="AR18" s="45">
        <f>IF(AR$7=$A19,INDEX(Calculations!$B$3:$I$22,MATCH('Slide output'!$A19,Calculations!$B$3:$B$22,0),MATCH('Slide output'!AR$8,Calculations!$B$3:$I$3,0)),$C18)</f>
        <v>0.92</v>
      </c>
      <c r="AS18" s="138"/>
      <c r="AT18" s="45">
        <f>IF(AT$7=$A19,INDEX(Calculations!$B$3:$I$22,MATCH('Slide output'!$A19,Calculations!$B$3:$B$22,0),MATCH('Slide output'!AT$8,Calculations!$B$3:$I$3,0)),$C18)</f>
        <v>0.98784367500000003</v>
      </c>
      <c r="AU18" s="138"/>
      <c r="AV18" s="138"/>
      <c r="AX18" s="132" t="s">
        <v>156</v>
      </c>
      <c r="AY18" s="45">
        <f>AY19/AY17</f>
        <v>0.91999999999999993</v>
      </c>
      <c r="AZ18" s="45">
        <f>IF(AZ$7=$A19,INDEX(Calculations!$B$3:$I$22,MATCH('Slide output'!$A19,Calculations!$B$3:$B$22,0),MATCH('Slide output'!AZ$8,Calculations!$B$3:$I$3,0)),$C18)</f>
        <v>0.91999999999999993</v>
      </c>
      <c r="BA18" s="138"/>
      <c r="BB18" s="45">
        <f>IF(BB$7=$A19,INDEX(Calculations!$B$3:$I$22,MATCH('Slide output'!$A19,Calculations!$B$3:$B$22,0),MATCH('Slide output'!BB$8,Calculations!$B$3:$I$3,0)),$C18)</f>
        <v>0.91999999999999993</v>
      </c>
      <c r="BC18" s="138"/>
      <c r="BD18" s="138"/>
    </row>
    <row r="19" spans="1:56" hidden="1">
      <c r="A19" s="38" t="s">
        <v>167</v>
      </c>
      <c r="B19" s="54" t="s">
        <v>121</v>
      </c>
      <c r="C19" s="113">
        <f>INDEX(Calculations!$B$3:$I$22,MATCH('Slide output'!$A19,Calculations!$B$3:$B$22,0)+1,MATCH('Slide output'!C$8,Calculations!$B$3:$I$3,0))/10^6</f>
        <v>2.944</v>
      </c>
      <c r="D19" s="113">
        <f>D17*D18</f>
        <v>2.8854143999999997</v>
      </c>
      <c r="E19" s="140">
        <f>D19-C19</f>
        <v>-5.8585600000000237E-2</v>
      </c>
      <c r="F19" s="113">
        <f>F18*F17</f>
        <v>2.8279946534400002</v>
      </c>
      <c r="G19" s="143">
        <f>F19-D19</f>
        <v>-5.7419746559999485E-2</v>
      </c>
      <c r="H19" s="144">
        <f>F19-C19</f>
        <v>-0.11600534655999972</v>
      </c>
      <c r="I19" s="128"/>
      <c r="J19" s="54" t="s">
        <v>121</v>
      </c>
      <c r="K19" s="113">
        <f>INDEX(Calculations!$B$3:$I$22,MATCH('Slide output'!$A19,Calculations!$B$3:$B$22,0)+1,MATCH('Slide output'!K$8,Calculations!$B$3:$I$3,0))/10^6</f>
        <v>2.944</v>
      </c>
      <c r="L19" s="113">
        <f>L17*L18</f>
        <v>3.2384000000000004</v>
      </c>
      <c r="M19" s="140">
        <f>L19-K19</f>
        <v>0.29440000000000044</v>
      </c>
      <c r="N19" s="113">
        <f>N18*N17</f>
        <v>3.6799999999999997</v>
      </c>
      <c r="O19" s="143">
        <f>N19-L19</f>
        <v>0.44159999999999933</v>
      </c>
      <c r="P19" s="144">
        <f>N19-K19</f>
        <v>0.73599999999999977</v>
      </c>
      <c r="R19" s="54" t="s">
        <v>121</v>
      </c>
      <c r="S19" s="113">
        <f>INDEX(Calculations!$B$3:$I$22,MATCH('Slide output'!$A19,Calculations!$B$3:$B$22,0)+1,MATCH('Slide output'!S$8,Calculations!$B$3:$I$3,0))/10^6</f>
        <v>2.944</v>
      </c>
      <c r="T19" s="113">
        <f>T17*T18</f>
        <v>2.944</v>
      </c>
      <c r="U19" s="140">
        <f>T19-S19</f>
        <v>0</v>
      </c>
      <c r="V19" s="113">
        <f>V18*V17</f>
        <v>3.2099214000000011</v>
      </c>
      <c r="W19" s="143">
        <f>V19-T19</f>
        <v>0.2659214000000012</v>
      </c>
      <c r="X19" s="144">
        <f>V19-S19</f>
        <v>0.2659214000000012</v>
      </c>
      <c r="Z19" s="54" t="s">
        <v>121</v>
      </c>
      <c r="AA19" s="113">
        <f>INDEX(Calculations!$B$3:$I$22,MATCH('Slide output'!$A19,Calculations!$B$3:$B$22,0)+1,MATCH('Slide output'!AA$8,Calculations!$B$3:$I$3,0))/10^6</f>
        <v>2.944</v>
      </c>
      <c r="AB19" s="113">
        <f>AB17*AB18</f>
        <v>2.9326631713024671</v>
      </c>
      <c r="AC19" s="140">
        <f>AB19-AA19</f>
        <v>-1.133682869753283E-2</v>
      </c>
      <c r="AD19" s="113">
        <f>AD18*AD17</f>
        <v>3.1655913978494619</v>
      </c>
      <c r="AE19" s="143">
        <f>AD19-AB19</f>
        <v>0.23292822654699474</v>
      </c>
      <c r="AF19" s="144">
        <f>AD19-AA19</f>
        <v>0.22159139784946191</v>
      </c>
      <c r="AH19" s="54" t="s">
        <v>121</v>
      </c>
      <c r="AI19" s="113">
        <f>INDEX(Calculations!$B$3:$I$22,MATCH('Slide output'!$A19,Calculations!$B$3:$B$22,0)+1,MATCH('Slide output'!AI$8,Calculations!$B$3:$I$3,0))/10^6</f>
        <v>2.944</v>
      </c>
      <c r="AJ19" s="113">
        <f>AJ17*AJ18</f>
        <v>2.932619346397455</v>
      </c>
      <c r="AK19" s="140">
        <f>AJ19-AI19</f>
        <v>-1.1380653602544921E-2</v>
      </c>
      <c r="AL19" s="113">
        <f>AL18*AL17</f>
        <v>2.9440000000000004</v>
      </c>
      <c r="AM19" s="143">
        <f>AL19-AJ19</f>
        <v>1.1380653602545365E-2</v>
      </c>
      <c r="AN19" s="144">
        <f>AL19-AI19</f>
        <v>0</v>
      </c>
      <c r="AP19" s="54" t="s">
        <v>121</v>
      </c>
      <c r="AQ19" s="113">
        <f>INDEX(Calculations!$B$3:$I$22,MATCH('Slide output'!$A19,Calculations!$B$3:$B$22,0)+1,MATCH('Slide output'!AQ$8,Calculations!$B$3:$I$3,0))/10^6</f>
        <v>2.944</v>
      </c>
      <c r="AR19" s="113">
        <f>AR17*AR18</f>
        <v>2.9440000000000004</v>
      </c>
      <c r="AS19" s="140">
        <f>AR19-AQ19</f>
        <v>0</v>
      </c>
      <c r="AT19" s="113">
        <f>AT18*AT17</f>
        <v>3.1610997600000004</v>
      </c>
      <c r="AU19" s="143">
        <f>AT19-AR19</f>
        <v>0.21709975999999997</v>
      </c>
      <c r="AV19" s="144">
        <f>AT19-AQ19</f>
        <v>0.21709976000000042</v>
      </c>
      <c r="AX19" s="54" t="s">
        <v>121</v>
      </c>
      <c r="AY19" s="113">
        <f>INDEX(Calculations!$B$3:$I$22,MATCH('Slide output'!$A19,Calculations!$B$3:$B$22,0)+1,MATCH('Slide output'!AY$8,Calculations!$B$3:$I$3,0))/10^6</f>
        <v>2.944</v>
      </c>
      <c r="AZ19" s="113">
        <f>AZ17*AZ18</f>
        <v>2.944</v>
      </c>
      <c r="BA19" s="140">
        <f>AZ19-AY19</f>
        <v>0</v>
      </c>
      <c r="BB19" s="113">
        <f>BB18*BB17</f>
        <v>2.944</v>
      </c>
      <c r="BC19" s="143">
        <f>BB19-AZ19</f>
        <v>0</v>
      </c>
      <c r="BD19" s="144">
        <f>BB19-AY19</f>
        <v>0</v>
      </c>
    </row>
    <row r="20" spans="1:56" ht="13" hidden="1" thickBot="1">
      <c r="B20" s="132" t="s">
        <v>156</v>
      </c>
      <c r="C20" s="45">
        <f>C21/C19</f>
        <v>0.86956521739130443</v>
      </c>
      <c r="D20" s="45">
        <f>IF(D$7=$A21,INDEX(Calculations!$B$3:$I$22,MATCH('Slide output'!$A21,Calculations!$B$3:$B$22,0),MATCH('Slide output'!D$8,Calculations!$B$3:$I$3,0)),$C20)</f>
        <v>0.86956521739130443</v>
      </c>
      <c r="E20" s="139"/>
      <c r="F20" s="45">
        <f>IF(F$7=$A21,INDEX(Calculations!$B$3:$I$22,MATCH('Slide output'!$A21,Calculations!$B$3:$B$22,0),MATCH('Slide output'!F$8,Calculations!$B$3:$I$3,0)),$C20)</f>
        <v>0.86956521739130443</v>
      </c>
      <c r="G20" s="139"/>
      <c r="H20" s="70"/>
      <c r="I20" s="1"/>
      <c r="J20" s="132" t="s">
        <v>156</v>
      </c>
      <c r="K20" s="45">
        <f>K21/K19</f>
        <v>0.86956521739130443</v>
      </c>
      <c r="L20" s="45">
        <f>IF(L$7=$A21,INDEX(Calculations!$B$3:$I$22,MATCH('Slide output'!$A21,Calculations!$B$3:$B$22,0),MATCH('Slide output'!L$8,Calculations!$B$3:$I$3,0)),$C20)</f>
        <v>0.86956521739130443</v>
      </c>
      <c r="M20" s="139"/>
      <c r="N20" s="45">
        <f>IF(N$7=$A21,INDEX(Calculations!$B$3:$I$22,MATCH('Slide output'!$A21,Calculations!$B$3:$B$22,0),MATCH('Slide output'!N$8,Calculations!$B$3:$I$3,0)),$C20)</f>
        <v>0.86956521739130443</v>
      </c>
      <c r="O20" s="139"/>
      <c r="P20" s="70"/>
      <c r="R20" s="132" t="s">
        <v>156</v>
      </c>
      <c r="S20" s="45">
        <f>S21/S19</f>
        <v>0.86956521739130443</v>
      </c>
      <c r="T20" s="45">
        <f>IF(T$7=$A21,INDEX(Calculations!$B$3:$I$22,MATCH('Slide output'!$A21,Calculations!$B$3:$B$22,0),MATCH('Slide output'!T$8,Calculations!$B$3:$I$3,0)),$C20)</f>
        <v>0.86956521739130443</v>
      </c>
      <c r="U20" s="139"/>
      <c r="V20" s="45">
        <f>IF(V$7=$A21,INDEX(Calculations!$B$3:$I$22,MATCH('Slide output'!$A21,Calculations!$B$3:$B$22,0),MATCH('Slide output'!V$8,Calculations!$B$3:$I$3,0)),$C20)</f>
        <v>0.86956521739130443</v>
      </c>
      <c r="W20" s="139"/>
      <c r="X20" s="70"/>
      <c r="Z20" s="132" t="s">
        <v>156</v>
      </c>
      <c r="AA20" s="45">
        <f>AA21/AA19</f>
        <v>0.86956521739130443</v>
      </c>
      <c r="AB20" s="45">
        <f>IF(AB$7=$A21,INDEX(Calculations!$B$3:$I$22,MATCH('Slide output'!$A21,Calculations!$B$3:$B$22,0),MATCH('Slide output'!AB$8,Calculations!$B$3:$I$3,0)),$C20)</f>
        <v>0.86956521739130443</v>
      </c>
      <c r="AC20" s="139"/>
      <c r="AD20" s="45">
        <f>IF(AD$7=$A21,INDEX(Calculations!$B$3:$I$22,MATCH('Slide output'!$A21,Calculations!$B$3:$B$22,0),MATCH('Slide output'!AD$8,Calculations!$B$3:$I$3,0)),$C20)</f>
        <v>0.86956521739130443</v>
      </c>
      <c r="AE20" s="139"/>
      <c r="AF20" s="70"/>
      <c r="AH20" s="132" t="s">
        <v>156</v>
      </c>
      <c r="AI20" s="45">
        <f>AI21/AI19</f>
        <v>0.86956521739130443</v>
      </c>
      <c r="AJ20" s="45">
        <f>IF(AJ$7=$A21,INDEX(Calculations!$B$3:$I$22,MATCH('Slide output'!$A21,Calculations!$B$3:$B$22,0),MATCH('Slide output'!AJ$8,Calculations!$B$3:$I$3,0)),$C20)</f>
        <v>0.86956521739130443</v>
      </c>
      <c r="AK20" s="139"/>
      <c r="AL20" s="45">
        <f>IF(AL$7=$A21,INDEX(Calculations!$B$3:$I$22,MATCH('Slide output'!$A21,Calculations!$B$3:$B$22,0),MATCH('Slide output'!AL$8,Calculations!$B$3:$I$3,0)),$C20)</f>
        <v>0.86956521739130443</v>
      </c>
      <c r="AM20" s="139"/>
      <c r="AN20" s="70"/>
      <c r="AP20" s="132" t="s">
        <v>156</v>
      </c>
      <c r="AQ20" s="45">
        <f>AQ21/AQ19</f>
        <v>0.86956521739130443</v>
      </c>
      <c r="AR20" s="45">
        <f>IF(AR$7=$A21,INDEX(Calculations!$B$3:$I$22,MATCH('Slide output'!$A21,Calculations!$B$3:$B$22,0),MATCH('Slide output'!AR$8,Calculations!$B$3:$I$3,0)),$C20)</f>
        <v>0.86956521739130443</v>
      </c>
      <c r="AS20" s="139"/>
      <c r="AT20" s="45">
        <f>IF(AT$7=$A21,INDEX(Calculations!$B$3:$I$22,MATCH('Slide output'!$A21,Calculations!$B$3:$B$22,0),MATCH('Slide output'!AT$8,Calculations!$B$3:$I$3,0)),$C20)</f>
        <v>0.86956521739130443</v>
      </c>
      <c r="AU20" s="139"/>
      <c r="AV20" s="70"/>
      <c r="AX20" s="132" t="s">
        <v>156</v>
      </c>
      <c r="AY20" s="45">
        <f>AY21/AY19</f>
        <v>0.86956521739130443</v>
      </c>
      <c r="AZ20" s="45">
        <f>IF(AZ$7=$A21,INDEX(Calculations!$B$3:$I$22,MATCH('Slide output'!$A21,Calculations!$B$3:$B$22,0),MATCH('Slide output'!AZ$8,Calculations!$B$3:$I$3,0)),$C20)</f>
        <v>0.87826086956521743</v>
      </c>
      <c r="BA20" s="139"/>
      <c r="BB20" s="45">
        <f>IF(BB$7=$A21,INDEX(Calculations!$B$3:$I$22,MATCH('Slide output'!$A21,Calculations!$B$3:$B$22,0),MATCH('Slide output'!BB$8,Calculations!$B$3:$I$3,0)),$C20)</f>
        <v>0.94087387092391306</v>
      </c>
      <c r="BC20" s="139"/>
      <c r="BD20" s="70"/>
    </row>
    <row r="21" spans="1:56" ht="13" hidden="1" thickBot="1">
      <c r="A21" s="38" t="s">
        <v>168</v>
      </c>
      <c r="B21" s="134" t="s">
        <v>122</v>
      </c>
      <c r="C21" s="113">
        <f>INDEX(Calculations!$B$3:$I$22,MATCH('Slide output'!$A21,Calculations!$B$3:$B$22,0)+1,MATCH('Slide output'!C$8,Calculations!$B$3:$I$3,0))/10^6</f>
        <v>2.56</v>
      </c>
      <c r="D21" s="113">
        <f>D19*D20</f>
        <v>2.5090560000000002</v>
      </c>
      <c r="E21" s="148">
        <f>D21-C21</f>
        <v>-5.0943999999999878E-2</v>
      </c>
      <c r="F21" s="113">
        <f>F20*F19</f>
        <v>2.4591257856000004</v>
      </c>
      <c r="G21" s="147">
        <f>F21-D21</f>
        <v>-4.9930214399999784E-2</v>
      </c>
      <c r="H21" s="149">
        <f>F21-C21</f>
        <v>-0.10087421439999966</v>
      </c>
      <c r="I21" s="145"/>
      <c r="J21" s="134" t="s">
        <v>122</v>
      </c>
      <c r="K21" s="150">
        <f>INDEX(Calculations!$B$3:$I$22,MATCH('Slide output'!$A21,Calculations!$B$3:$B$22,0)+1,MATCH('Slide output'!K$8,Calculations!$B$3:$I$3,0))/10^6</f>
        <v>2.56</v>
      </c>
      <c r="L21" s="113">
        <f>L19*L20</f>
        <v>2.8160000000000007</v>
      </c>
      <c r="M21" s="148">
        <f>L21-K21</f>
        <v>0.25600000000000067</v>
      </c>
      <c r="N21" s="113">
        <f>N20*N19</f>
        <v>3.2</v>
      </c>
      <c r="O21" s="147">
        <f>N21-L21</f>
        <v>0.38399999999999945</v>
      </c>
      <c r="P21" s="149">
        <f>N21-K21</f>
        <v>0.64000000000000012</v>
      </c>
      <c r="R21" s="134" t="s">
        <v>122</v>
      </c>
      <c r="S21" s="113">
        <f>INDEX(Calculations!$B$3:$I$22,MATCH('Slide output'!$A21,Calculations!$B$3:$B$22,0)+1,MATCH('Slide output'!S$8,Calculations!$B$3:$I$3,0))/10^6</f>
        <v>2.56</v>
      </c>
      <c r="T21" s="113">
        <f>T19*T20</f>
        <v>2.56</v>
      </c>
      <c r="U21" s="148">
        <f>T21-S21</f>
        <v>0</v>
      </c>
      <c r="V21" s="113">
        <f>V20*V19</f>
        <v>2.7912360000000014</v>
      </c>
      <c r="W21" s="147">
        <f>V21-T21</f>
        <v>0.23123600000000133</v>
      </c>
      <c r="X21" s="149">
        <f>V21-S21</f>
        <v>0.23123600000000133</v>
      </c>
      <c r="Z21" s="134" t="s">
        <v>122</v>
      </c>
      <c r="AA21" s="113">
        <f>INDEX(Calculations!$B$3:$I$22,MATCH('Slide output'!$A21,Calculations!$B$3:$B$22,0)+1,MATCH('Slide output'!AA$8,Calculations!$B$3:$I$3,0))/10^6</f>
        <v>2.56</v>
      </c>
      <c r="AB21" s="113">
        <f>AB19*AB20</f>
        <v>2.5501418880891022</v>
      </c>
      <c r="AC21" s="148">
        <f>AB21-AA21</f>
        <v>-9.8581119108978044E-3</v>
      </c>
      <c r="AD21" s="113">
        <f>AD20*AD19</f>
        <v>2.7526881720430105</v>
      </c>
      <c r="AE21" s="147">
        <f>AD21-AB21</f>
        <v>0.20254628395390828</v>
      </c>
      <c r="AF21" s="149">
        <f>AD21-AA21</f>
        <v>0.19268817204301047</v>
      </c>
      <c r="AH21" s="134" t="s">
        <v>122</v>
      </c>
      <c r="AI21" s="113">
        <f>INDEX(Calculations!$B$3:$I$22,MATCH('Slide output'!$A21,Calculations!$B$3:$B$22,0)+1,MATCH('Slide output'!AI$8,Calculations!$B$3:$I$3,0))/10^6</f>
        <v>2.56</v>
      </c>
      <c r="AJ21" s="113">
        <f>AJ19*AJ20</f>
        <v>2.5501037794760482</v>
      </c>
      <c r="AK21" s="148">
        <f>AJ21-AI21</f>
        <v>-9.896220523951893E-3</v>
      </c>
      <c r="AL21" s="113">
        <f>AL20*AL19</f>
        <v>2.5600000000000005</v>
      </c>
      <c r="AM21" s="147">
        <f>AL21-AJ21</f>
        <v>9.8962205239523371E-3</v>
      </c>
      <c r="AN21" s="149">
        <f>AL21-AI21</f>
        <v>0</v>
      </c>
      <c r="AP21" s="134" t="s">
        <v>122</v>
      </c>
      <c r="AQ21" s="113">
        <f>INDEX(Calculations!$B$3:$I$22,MATCH('Slide output'!$A21,Calculations!$B$3:$B$22,0)+1,MATCH('Slide output'!AQ$8,Calculations!$B$3:$I$3,0))/10^6</f>
        <v>2.56</v>
      </c>
      <c r="AR21" s="113">
        <f>AR19*AR20</f>
        <v>2.5600000000000005</v>
      </c>
      <c r="AS21" s="148">
        <f>AR21-AQ21</f>
        <v>0</v>
      </c>
      <c r="AT21" s="113">
        <f>AT20*AT19</f>
        <v>2.7487824000000005</v>
      </c>
      <c r="AU21" s="147">
        <f>AT21-AR21</f>
        <v>0.18878240000000002</v>
      </c>
      <c r="AV21" s="149">
        <f>AT21-AQ21</f>
        <v>0.18878240000000046</v>
      </c>
      <c r="AX21" s="134" t="s">
        <v>122</v>
      </c>
      <c r="AY21" s="113">
        <f>INDEX(Calculations!$B$3:$I$22,MATCH('Slide output'!$A21,Calculations!$B$3:$B$22,0)+1,MATCH('Slide output'!AY$8,Calculations!$B$3:$I$3,0))/10^6</f>
        <v>2.56</v>
      </c>
      <c r="AZ21" s="113">
        <f>AZ19*AZ20</f>
        <v>2.5855999999999999</v>
      </c>
      <c r="BA21" s="148">
        <f>AZ21-AY21</f>
        <v>2.5599999999999845E-2</v>
      </c>
      <c r="BB21" s="113">
        <f>BB20*BB19</f>
        <v>2.7699326759999998</v>
      </c>
      <c r="BC21" s="147">
        <f>BB21-AZ21</f>
        <v>0.18433267599999992</v>
      </c>
      <c r="BD21" s="149">
        <f>BB21-AY21</f>
        <v>0.20993267599999976</v>
      </c>
    </row>
    <row r="22" spans="1:56" hidden="1"/>
    <row r="23" spans="1:56" hidden="1">
      <c r="A23" s="38"/>
      <c r="J23" s="1"/>
      <c r="K23" s="1"/>
    </row>
    <row r="24" spans="1:56" s="152" customFormat="1">
      <c r="A24" s="151"/>
      <c r="B24" s="153" t="s">
        <v>170</v>
      </c>
    </row>
    <row r="25" spans="1:56" hidden="1">
      <c r="A25" s="38"/>
      <c r="B25" s="1"/>
      <c r="C25" s="1"/>
      <c r="D25" s="1"/>
      <c r="E25" s="1"/>
    </row>
    <row r="26" spans="1:56" hidden="1">
      <c r="B26" s="1" t="s">
        <v>171</v>
      </c>
      <c r="C26" s="1">
        <v>2015</v>
      </c>
      <c r="D26" s="1"/>
      <c r="E26" s="1"/>
    </row>
    <row r="27" spans="1:56" hidden="1">
      <c r="B27" s="1"/>
      <c r="C27" s="1"/>
      <c r="D27" s="1"/>
      <c r="E27" s="1"/>
    </row>
    <row r="28" spans="1:56" hidden="1">
      <c r="A28" s="154" t="s">
        <v>33</v>
      </c>
      <c r="B28" s="54" t="s">
        <v>32</v>
      </c>
      <c r="C28" s="155">
        <f>INDEX(Calculations!$C$3:$I$22,MATCH('Slide output'!$A28,Calculations!$C$3:$C$22,0),MATCH('Slide output'!$C$26,Calculations!$C$3:$I$3,0))/10^6</f>
        <v>26.666666666666668</v>
      </c>
      <c r="D28" s="1"/>
      <c r="E28" s="1"/>
    </row>
    <row r="29" spans="1:56" hidden="1">
      <c r="A29" s="154" t="s">
        <v>120</v>
      </c>
      <c r="B29" s="54" t="s">
        <v>120</v>
      </c>
      <c r="C29" s="155">
        <f>INDEX(Calculations!$C$3:$I$22,MATCH('Slide output'!$A29,Calculations!$C$3:$C$22,0),MATCH('Slide output'!$C$26,Calculations!$C$3:$I$3,0))/10^6</f>
        <v>6.666666666666667</v>
      </c>
      <c r="D29" s="1"/>
      <c r="E29" s="1"/>
    </row>
    <row r="30" spans="1:56" hidden="1">
      <c r="A30" s="154" t="s">
        <v>26</v>
      </c>
      <c r="B30" s="54" t="s">
        <v>124</v>
      </c>
      <c r="C30" s="155">
        <f>INDEX(Calculations!$C$3:$I$22,MATCH('Slide output'!$A30,Calculations!$C$3:$C$22,0),MATCH('Slide output'!$C$26,Calculations!$C$3:$I$3,0))/10^6</f>
        <v>3.4408602150537635</v>
      </c>
      <c r="D30" s="1"/>
      <c r="E30" s="1"/>
    </row>
    <row r="31" spans="1:56" hidden="1">
      <c r="A31" s="154" t="s">
        <v>131</v>
      </c>
      <c r="B31" s="54" t="s">
        <v>161</v>
      </c>
      <c r="C31" s="155">
        <f>INDEX(Calculations!$C$3:$I$22,MATCH('Slide output'!$A31,Calculations!$C$3:$C$22,0),MATCH('Slide output'!$C$26,Calculations!$C$3:$I$3,0))/10^6</f>
        <v>3.2</v>
      </c>
      <c r="D31" s="1"/>
      <c r="E31" s="1"/>
    </row>
    <row r="32" spans="1:56" hidden="1">
      <c r="A32" s="154" t="s">
        <v>130</v>
      </c>
      <c r="B32" s="54" t="s">
        <v>162</v>
      </c>
      <c r="C32" s="155">
        <f>INDEX(Calculations!$C$3:$I$22,MATCH('Slide output'!$A32,Calculations!$C$3:$C$22,0),MATCH('Slide output'!$C$26,Calculations!$C$3:$I$3,0))/10^6</f>
        <v>3.2</v>
      </c>
      <c r="D32" s="1"/>
      <c r="E32" s="1"/>
    </row>
    <row r="33" spans="1:11" hidden="1">
      <c r="A33" s="154" t="s">
        <v>129</v>
      </c>
      <c r="B33" s="54" t="s">
        <v>121</v>
      </c>
      <c r="C33" s="155">
        <f>INDEX(Calculations!$C$3:$I$22,MATCH('Slide output'!$A33,Calculations!$C$3:$C$22,0),MATCH('Slide output'!$C$26,Calculations!$C$3:$I$3,0))/10^6</f>
        <v>2.944</v>
      </c>
    </row>
    <row r="34" spans="1:11" hidden="1">
      <c r="A34" s="154" t="s">
        <v>29</v>
      </c>
      <c r="B34" s="54" t="s">
        <v>122</v>
      </c>
      <c r="C34" s="155">
        <f>INDEX(Calculations!$C$3:$I$22,MATCH('Slide output'!$A34,Calculations!$C$3:$C$22,0),MATCH('Slide output'!$C$26,Calculations!$C$3:$I$3,0))/10^6</f>
        <v>2.56</v>
      </c>
    </row>
    <row r="35" spans="1:11" hidden="1">
      <c r="B35" s="36"/>
      <c r="C35" s="36"/>
    </row>
    <row r="36" spans="1:11" hidden="1"/>
    <row r="37" spans="1:11" hidden="1">
      <c r="C37" s="154" t="s">
        <v>33</v>
      </c>
      <c r="D37" s="154" t="s">
        <v>120</v>
      </c>
      <c r="E37" s="154" t="s">
        <v>26</v>
      </c>
      <c r="F37" s="154" t="s">
        <v>131</v>
      </c>
      <c r="G37" s="154" t="s">
        <v>130</v>
      </c>
      <c r="H37" s="154" t="s">
        <v>129</v>
      </c>
      <c r="I37" s="154" t="s">
        <v>29</v>
      </c>
    </row>
    <row r="38" spans="1:11" hidden="1">
      <c r="C38" s="54" t="s">
        <v>32</v>
      </c>
      <c r="D38" s="54" t="s">
        <v>120</v>
      </c>
      <c r="E38" s="54" t="s">
        <v>124</v>
      </c>
      <c r="F38" s="54" t="s">
        <v>161</v>
      </c>
      <c r="G38" s="54" t="s">
        <v>162</v>
      </c>
      <c r="H38" s="54" t="s">
        <v>121</v>
      </c>
      <c r="I38" s="54" t="s">
        <v>122</v>
      </c>
    </row>
    <row r="39" spans="1:11" hidden="1">
      <c r="B39" s="129">
        <v>2015</v>
      </c>
      <c r="C39" s="155">
        <f>INDEX(Calculations!$C$3:$I$22,MATCH(C$37,Calculations!$C$3:$C$22,0),MATCH($B39,Calculations!$C$3:$I$3,0))/10^6</f>
        <v>26.666666666666668</v>
      </c>
      <c r="D39" s="155">
        <f>INDEX(Calculations!$C$3:$I$22,MATCH(D$37,Calculations!$C$3:$C$22,0),MATCH($B39,Calculations!$C$3:$I$3,0))/10^6</f>
        <v>6.666666666666667</v>
      </c>
      <c r="E39" s="155">
        <f>INDEX(Calculations!$C$3:$I$22,MATCH(E$37,Calculations!$C$3:$C$22,0),MATCH($B39,Calculations!$C$3:$I$3,0))/10^6</f>
        <v>3.4408602150537635</v>
      </c>
      <c r="F39" s="155">
        <f>INDEX(Calculations!$C$3:$I$22,MATCH(F$37,Calculations!$C$3:$C$22,0),MATCH($B39,Calculations!$C$3:$I$3,0))/10^6</f>
        <v>3.2</v>
      </c>
      <c r="G39" s="155">
        <f>INDEX(Calculations!$C$3:$I$22,MATCH(G$37,Calculations!$C$3:$C$22,0),MATCH($B39,Calculations!$C$3:$I$3,0))/10^6</f>
        <v>3.2</v>
      </c>
      <c r="H39" s="155">
        <f>INDEX(Calculations!$C$3:$I$22,MATCH(H$37,Calculations!$C$3:$C$22,0),MATCH($B39,Calculations!$C$3:$I$3,0))/10^6</f>
        <v>2.944</v>
      </c>
      <c r="I39" s="155">
        <f>INDEX(Calculations!$C$3:$I$22,MATCH(I$37,Calculations!$C$3:$C$22,0),MATCH($B39,Calculations!$C$3:$I$3,0))/10^6</f>
        <v>2.56</v>
      </c>
      <c r="J39" s="156">
        <f>I39/C39</f>
        <v>9.6000000000000002E-2</v>
      </c>
    </row>
    <row r="40" spans="1:11" hidden="1">
      <c r="B40" s="129">
        <v>2016</v>
      </c>
      <c r="C40" s="155">
        <f>INDEX(Calculations!$C$3:$I$22,MATCH(C$37,Calculations!$C$3:$C$22,0),MATCH($B40,Calculations!$C$3:$I$3,0))/10^6</f>
        <v>26.4</v>
      </c>
      <c r="D40" s="155">
        <f>INDEX(Calculations!$C$3:$I$22,MATCH(D$37,Calculations!$C$3:$C$22,0),MATCH($B40,Calculations!$C$3:$I$3,0))/10^6</f>
        <v>6.93</v>
      </c>
      <c r="E40" s="155">
        <f>INDEX(Calculations!$C$3:$I$22,MATCH(E$37,Calculations!$C$3:$C$22,0),MATCH($B40,Calculations!$C$3:$I$3,0))/10^6</f>
        <v>3.576774193548387</v>
      </c>
      <c r="F40" s="155">
        <f>INDEX(Calculations!$C$3:$I$22,MATCH(F$37,Calculations!$C$3:$C$22,0),MATCH($B40,Calculations!$C$3:$I$3,0))/10^6</f>
        <v>3.3128086021505374</v>
      </c>
      <c r="G40" s="155">
        <f>INDEX(Calculations!$C$3:$I$22,MATCH(G$37,Calculations!$C$3:$C$22,0),MATCH($B40,Calculations!$C$3:$I$3,0))/10^6</f>
        <v>3.2992172043010757</v>
      </c>
      <c r="H40" s="155">
        <f>INDEX(Calculations!$C$3:$I$22,MATCH(H$37,Calculations!$C$3:$C$22,0),MATCH($B40,Calculations!$C$3:$I$3,0))/10^6</f>
        <v>3.0352798279569893</v>
      </c>
      <c r="I40" s="155">
        <f>INDEX(Calculations!$C$3:$I$22,MATCH(I$37,Calculations!$C$3:$C$22,0),MATCH($B40,Calculations!$C$3:$I$3,0))/10^6</f>
        <v>2.652570632258064</v>
      </c>
      <c r="J40" s="156">
        <f t="shared" ref="J40:J44" si="1">I40/C40</f>
        <v>0.10047616031280546</v>
      </c>
    </row>
    <row r="41" spans="1:11" hidden="1">
      <c r="B41" s="129">
        <v>2017</v>
      </c>
      <c r="C41" s="155">
        <f>INDEX(Calculations!$C$3:$I$22,MATCH(C$37,Calculations!$C$3:$C$22,0),MATCH($B41,Calculations!$C$3:$I$3,0))/10^6</f>
        <v>26.135999999999999</v>
      </c>
      <c r="D41" s="155">
        <f>INDEX(Calculations!$C$3:$I$22,MATCH(D$37,Calculations!$C$3:$C$22,0),MATCH($B41,Calculations!$C$3:$I$3,0))/10^6</f>
        <v>7.1874000000000011</v>
      </c>
      <c r="E41" s="155">
        <f>INDEX(Calculations!$C$3:$I$22,MATCH(E$37,Calculations!$C$3:$C$22,0),MATCH($B41,Calculations!$C$3:$I$3,0))/10^6</f>
        <v>3.709625806451613</v>
      </c>
      <c r="F41" s="155">
        <f>INDEX(Calculations!$C$3:$I$22,MATCH(F$37,Calculations!$C$3:$C$22,0),MATCH($B41,Calculations!$C$3:$I$3,0))/10^6</f>
        <v>3.4366668387096775</v>
      </c>
      <c r="G41" s="155">
        <f>INDEX(Calculations!$C$3:$I$22,MATCH(G$37,Calculations!$C$3:$C$22,0),MATCH($B41,Calculations!$C$3:$I$3,0))/10^6</f>
        <v>3.4233816774193553</v>
      </c>
      <c r="H41" s="155">
        <f>INDEX(Calculations!$C$3:$I$22,MATCH(H$37,Calculations!$C$3:$C$22,0),MATCH($B41,Calculations!$C$3:$I$3,0))/10^6</f>
        <v>3.1495111432258067</v>
      </c>
      <c r="I41" s="155">
        <f>INDEX(Calculations!$C$3:$I$22,MATCH(I$37,Calculations!$C$3:$C$22,0),MATCH($B41,Calculations!$C$3:$I$3,0))/10^6</f>
        <v>2.7660923953548391</v>
      </c>
      <c r="J41" s="156">
        <f t="shared" si="1"/>
        <v>0.10583457282502445</v>
      </c>
    </row>
    <row r="42" spans="1:11" hidden="1">
      <c r="B42" s="129">
        <v>2018</v>
      </c>
      <c r="C42" s="155">
        <f>INDEX(Calculations!$C$3:$I$22,MATCH(C$37,Calculations!$C$3:$C$22,0),MATCH($B42,Calculations!$C$3:$I$3,0))/10^6</f>
        <v>25.874639999999999</v>
      </c>
      <c r="D42" s="155">
        <f>INDEX(Calculations!$C$3:$I$22,MATCH(D$37,Calculations!$C$3:$C$22,0),MATCH($B42,Calculations!$C$3:$I$3,0))/10^6</f>
        <v>7.4389589999999988</v>
      </c>
      <c r="E42" s="155">
        <f>INDEX(Calculations!$C$3:$I$22,MATCH(E$37,Calculations!$C$3:$C$22,0),MATCH($B42,Calculations!$C$3:$I$3,0))/10^6</f>
        <v>3.9020339535241924</v>
      </c>
      <c r="F42" s="155">
        <f>INDEX(Calculations!$C$3:$I$22,MATCH(F$37,Calculations!$C$3:$C$22,0),MATCH($B42,Calculations!$C$3:$I$3,0))/10^6</f>
        <v>3.6998920311219967</v>
      </c>
      <c r="G42" s="155">
        <f>INDEX(Calculations!$C$3:$I$22,MATCH(G$37,Calculations!$C$3:$C$22,0),MATCH($B42,Calculations!$C$3:$I$3,0))/10^6</f>
        <v>3.6898528444557752</v>
      </c>
      <c r="H42" s="155">
        <f>INDEX(Calculations!$C$3:$I$22,MATCH(H$37,Calculations!$C$3:$C$22,0),MATCH($B42,Calculations!$C$3:$I$3,0))/10^6</f>
        <v>3.4244315822587486</v>
      </c>
      <c r="I42" s="155">
        <f>INDEX(Calculations!$C$3:$I$22,MATCH(I$37,Calculations!$C$3:$C$22,0),MATCH($B42,Calculations!$C$3:$I$3,0))/10^6</f>
        <v>3.0413516343037896</v>
      </c>
      <c r="J42" s="156">
        <f t="shared" si="1"/>
        <v>0.11754179514396296</v>
      </c>
    </row>
    <row r="43" spans="1:11" hidden="1">
      <c r="B43" s="129">
        <v>2019</v>
      </c>
      <c r="C43" s="155">
        <f>INDEX(Calculations!$C$3:$I$22,MATCH(C$37,Calculations!$C$3:$C$22,0),MATCH($B43,Calculations!$C$3:$I$3,0))/10^6</f>
        <v>25.615893600000003</v>
      </c>
      <c r="D43" s="155">
        <f>INDEX(Calculations!$C$3:$I$22,MATCH(D$37,Calculations!$C$3:$C$22,0),MATCH($B43,Calculations!$C$3:$I$3,0))/10^6</f>
        <v>7.6847680800000004</v>
      </c>
      <c r="E43" s="155">
        <f>INDEX(Calculations!$C$3:$I$22,MATCH(E$37,Calculations!$C$3:$C$22,0),MATCH($B43,Calculations!$C$3:$I$3,0))/10^6</f>
        <v>4.136788744623523</v>
      </c>
      <c r="F43" s="155">
        <f>INDEX(Calculations!$C$3:$I$22,MATCH(F$37,Calculations!$C$3:$C$22,0),MATCH($B43,Calculations!$C$3:$I$3,0))/10^6</f>
        <v>4.136788744623523</v>
      </c>
      <c r="G43" s="155">
        <f>INDEX(Calculations!$C$3:$I$22,MATCH(G$37,Calculations!$C$3:$C$22,0),MATCH($B43,Calculations!$C$3:$I$3,0))/10^6</f>
        <v>4.1338798318411571</v>
      </c>
      <c r="H43" s="155">
        <f>INDEX(Calculations!$C$3:$I$22,MATCH(H$37,Calculations!$C$3:$C$22,0),MATCH($B43,Calculations!$C$3:$I$3,0))/10^6</f>
        <v>3.9180978981573813</v>
      </c>
      <c r="I43" s="155">
        <f>INDEX(Calculations!$C$3:$I$22,MATCH(I$37,Calculations!$C$3:$C$22,0),MATCH($B43,Calculations!$C$3:$I$3,0))/10^6</f>
        <v>3.5467192453269694</v>
      </c>
      <c r="J43" s="156">
        <f t="shared" si="1"/>
        <v>0.13845775988572068</v>
      </c>
    </row>
    <row r="44" spans="1:11" hidden="1">
      <c r="B44" s="129">
        <v>2020</v>
      </c>
      <c r="C44" s="155">
        <f>INDEX(Calculations!$C$3:$I$22,MATCH(C$37,Calculations!$C$3:$C$22,0),MATCH($B44,Calculations!$C$3:$I$3,0))/10^6</f>
        <v>25.359734664000001</v>
      </c>
      <c r="D44" s="155">
        <f>INDEX(Calculations!$C$3:$I$22,MATCH(D$37,Calculations!$C$3:$C$22,0),MATCH($B44,Calculations!$C$3:$I$3,0))/10^6</f>
        <v>7.9249170825000004</v>
      </c>
      <c r="E44" s="155">
        <f>INDEX(Calculations!$C$3:$I$22,MATCH(E$37,Calculations!$C$3:$C$22,0),MATCH($B44,Calculations!$C$3:$I$3,0))/10^6</f>
        <v>4.4597406971147135</v>
      </c>
      <c r="F44" s="155">
        <f>INDEX(Calculations!$C$3:$I$22,MATCH(F$37,Calculations!$C$3:$C$22,0),MATCH($B44,Calculations!$C$3:$I$3,0))/10^6</f>
        <v>4.4597406971147135</v>
      </c>
      <c r="G44" s="155">
        <f>INDEX(Calculations!$C$3:$I$22,MATCH(G$37,Calculations!$C$3:$C$22,0),MATCH($B44,Calculations!$C$3:$I$3,0))/10^6</f>
        <v>4.4597406971147135</v>
      </c>
      <c r="H44" s="155">
        <f>INDEX(Calculations!$C$3:$I$22,MATCH(H$37,Calculations!$C$3:$C$22,0),MATCH($B44,Calculations!$C$3:$I$3,0))/10^6</f>
        <v>4.4055266397848607</v>
      </c>
      <c r="I44" s="155">
        <f>INDEX(Calculations!$C$3:$I$22,MATCH(I$37,Calculations!$C$3:$C$22,0),MATCH($B44,Calculations!$C$3:$I$3,0))/10^6</f>
        <v>4.1450449030328009</v>
      </c>
      <c r="J44" s="156">
        <f t="shared" si="1"/>
        <v>0.16344985300327275</v>
      </c>
      <c r="K44" s="156">
        <f>J44-J39</f>
        <v>6.7449853003272747E-2</v>
      </c>
    </row>
    <row r="45" spans="1:11" hidden="1"/>
    <row r="46" spans="1:11" hidden="1">
      <c r="B46" s="129">
        <v>2015</v>
      </c>
      <c r="C46" s="45"/>
      <c r="D46" s="45">
        <f>INDEX(Calculations!$C$3:$I$22,MATCH(D$37,Calculations!$C$3:$C$22,0)-1,MATCH($B46,Calculations!$C$3:$I$3,0))</f>
        <v>0.25</v>
      </c>
      <c r="E46" s="45">
        <f>INDEX(Calculations!$C$3:$I$22,MATCH(E$37,Calculations!$C$3:$C$22,0)-1,MATCH($B46,Calculations!$C$3:$I$3,0))</f>
        <v>0.5161290322580645</v>
      </c>
      <c r="F46" s="45">
        <f>INDEX(Calculations!$C$3:$I$22,MATCH(F$37,Calculations!$C$3:$C$22,0)-3,MATCH($B46,Calculations!$C$3:$I$3,0))</f>
        <v>0.93</v>
      </c>
      <c r="G46" s="45">
        <f>INDEX(Calculations!$C$3:$I$22,MATCH(G$37,Calculations!$C$3:$C$22,0)-1,MATCH($B46,Calculations!$C$3:$I$3,0))</f>
        <v>1</v>
      </c>
      <c r="H46" s="45">
        <f>INDEX(Calculations!$C$3:$I$22,MATCH(H$37,Calculations!$C$3:$C$22,0)-1,MATCH($B46,Calculations!$C$3:$I$3,0))</f>
        <v>0.92</v>
      </c>
      <c r="I46" s="45">
        <f>INDEX(Calculations!$C$3:$I$22,MATCH(I$37,Calculations!$C$3:$C$22,0)-1,MATCH($B46,Calculations!$C$3:$I$3,0))</f>
        <v>0.86956521739130432</v>
      </c>
    </row>
    <row r="47" spans="1:11" hidden="1">
      <c r="B47" s="129">
        <v>2016</v>
      </c>
      <c r="C47" s="45"/>
      <c r="D47" s="45">
        <f>INDEX(Calculations!$C$3:$I$22,MATCH(D$37,Calculations!$C$3:$C$22,0)-1,MATCH($B47,Calculations!$C$3:$I$3,0))</f>
        <v>0.26250000000000001</v>
      </c>
      <c r="E47" s="45">
        <f>INDEX(Calculations!$C$3:$I$22,MATCH(E$37,Calculations!$C$3:$C$22,0)-1,MATCH($B47,Calculations!$C$3:$I$3,0))</f>
        <v>0.5161290322580645</v>
      </c>
      <c r="F47" s="45">
        <f>INDEX(Calculations!$C$3:$I$22,MATCH(F$37,Calculations!$C$3:$C$22,0)-3,MATCH($B47,Calculations!$C$3:$I$3,0))</f>
        <v>0.92620009620009625</v>
      </c>
      <c r="G47" s="45">
        <f>INDEX(Calculations!$C$3:$I$22,MATCH(G$37,Calculations!$C$3:$C$22,0)-1,MATCH($B47,Calculations!$C$3:$I$3,0))</f>
        <v>0.99589731871601661</v>
      </c>
      <c r="H47" s="45">
        <f>INDEX(Calculations!$C$3:$I$22,MATCH(H$37,Calculations!$C$3:$C$22,0)-1,MATCH($B47,Calculations!$C$3:$I$3,0))</f>
        <v>0.92</v>
      </c>
      <c r="I47" s="45">
        <f>INDEX(Calculations!$C$3:$I$22,MATCH(I$37,Calculations!$C$3:$C$22,0)-1,MATCH($B47,Calculations!$C$3:$I$3,0))</f>
        <v>0.87391304347826071</v>
      </c>
    </row>
    <row r="48" spans="1:11" hidden="1">
      <c r="B48" s="129">
        <v>2017</v>
      </c>
      <c r="C48" s="45"/>
      <c r="D48" s="45">
        <f>INDEX(Calculations!$C$3:$I$22,MATCH(D$37,Calculations!$C$3:$C$22,0)-1,MATCH($B48,Calculations!$C$3:$I$3,0))</f>
        <v>0.27500000000000002</v>
      </c>
      <c r="E48" s="45">
        <f>INDEX(Calculations!$C$3:$I$22,MATCH(E$37,Calculations!$C$3:$C$22,0)-1,MATCH($B48,Calculations!$C$3:$I$3,0))</f>
        <v>0.5161290322580645</v>
      </c>
      <c r="F48" s="45">
        <f>INDEX(Calculations!$C$3:$I$22,MATCH(F$37,Calculations!$C$3:$C$22,0)-3,MATCH($B48,Calculations!$C$3:$I$3,0))</f>
        <v>0.92641873278236919</v>
      </c>
      <c r="G48" s="45">
        <f>INDEX(Calculations!$C$3:$I$22,MATCH(G$37,Calculations!$C$3:$C$22,0)-1,MATCH($B48,Calculations!$C$3:$I$3,0))</f>
        <v>0.99613428885783106</v>
      </c>
      <c r="H48" s="45">
        <f>INDEX(Calculations!$C$3:$I$22,MATCH(H$37,Calculations!$C$3:$C$22,0)-1,MATCH($B48,Calculations!$C$3:$I$3,0))</f>
        <v>0.92</v>
      </c>
      <c r="I48" s="45">
        <f>INDEX(Calculations!$C$3:$I$22,MATCH(I$37,Calculations!$C$3:$C$22,0)-1,MATCH($B48,Calculations!$C$3:$I$3,0))</f>
        <v>0.87826086956521743</v>
      </c>
    </row>
    <row r="49" spans="2:9" hidden="1">
      <c r="B49" s="129">
        <v>2018</v>
      </c>
      <c r="C49" s="45"/>
      <c r="D49" s="45">
        <f>INDEX(Calculations!$C$3:$I$22,MATCH(D$37,Calculations!$C$3:$C$22,0)-1,MATCH($B49,Calculations!$C$3:$I$3,0))</f>
        <v>0.28749999999999998</v>
      </c>
      <c r="E49" s="45">
        <f>INDEX(Calculations!$C$3:$I$22,MATCH(E$37,Calculations!$C$3:$C$22,0)-1,MATCH($B49,Calculations!$C$3:$I$3,0))</f>
        <v>0.52454032258064509</v>
      </c>
      <c r="F49" s="45">
        <f>INDEX(Calculations!$C$3:$I$22,MATCH(F$37,Calculations!$C$3:$C$22,0)-3,MATCH($B49,Calculations!$C$3:$I$3,0))</f>
        <v>0.94819575513441456</v>
      </c>
      <c r="G49" s="45">
        <f>INDEX(Calculations!$C$3:$I$22,MATCH(G$37,Calculations!$C$3:$C$22,0)-1,MATCH($B49,Calculations!$C$3:$I$3,0))</f>
        <v>0.99728662712809568</v>
      </c>
      <c r="H49" s="45">
        <f>INDEX(Calculations!$C$3:$I$22,MATCH(H$37,Calculations!$C$3:$C$22,0)-1,MATCH($B49,Calculations!$C$3:$I$3,0))</f>
        <v>0.92806724999999979</v>
      </c>
      <c r="I49" s="45">
        <f>INDEX(Calculations!$C$3:$I$22,MATCH(I$37,Calculations!$C$3:$C$22,0)-1,MATCH($B49,Calculations!$C$3:$I$3,0))</f>
        <v>0.88813327445652168</v>
      </c>
    </row>
    <row r="50" spans="2:9" hidden="1">
      <c r="B50" s="129">
        <v>2019</v>
      </c>
      <c r="C50" s="45"/>
      <c r="D50" s="45">
        <f>INDEX(Calculations!$C$3:$I$22,MATCH(D$37,Calculations!$C$3:$C$22,0)-1,MATCH($B50,Calculations!$C$3:$I$3,0))</f>
        <v>0.3</v>
      </c>
      <c r="E50" s="45">
        <f>INDEX(Calculations!$C$3:$I$22,MATCH(E$37,Calculations!$C$3:$C$22,0)-1,MATCH($B50,Calculations!$C$3:$I$3,0))</f>
        <v>0.53831016129032261</v>
      </c>
      <c r="F50" s="45">
        <f>INDEX(Calculations!$C$3:$I$22,MATCH(F$37,Calculations!$C$3:$C$22,0)-3,MATCH($B50,Calculations!$C$3:$I$3,0))</f>
        <v>1</v>
      </c>
      <c r="G50" s="45">
        <f>INDEX(Calculations!$C$3:$I$22,MATCH(G$37,Calculations!$C$3:$C$22,0)-1,MATCH($B50,Calculations!$C$3:$I$3,0))</f>
        <v>0.99929681862866548</v>
      </c>
      <c r="H50" s="45">
        <f>INDEX(Calculations!$C$3:$I$22,MATCH(H$37,Calculations!$C$3:$C$22,0)-1,MATCH($B50,Calculations!$C$3:$I$3,0))</f>
        <v>0.94780159500000016</v>
      </c>
      <c r="I50" s="45">
        <f>INDEX(Calculations!$C$3:$I$22,MATCH(I$37,Calculations!$C$3:$C$22,0)-1,MATCH($B50,Calculations!$C$3:$I$3,0))</f>
        <v>0.90521455500000003</v>
      </c>
    </row>
    <row r="51" spans="2:9" hidden="1">
      <c r="B51" s="129">
        <v>2020</v>
      </c>
      <c r="C51" s="45"/>
      <c r="D51" s="45">
        <f>INDEX(Calculations!$C$3:$I$22,MATCH(D$37,Calculations!$C$3:$C$22,0)-1,MATCH($B51,Calculations!$C$3:$I$3,0))</f>
        <v>0.3125</v>
      </c>
      <c r="E51" s="45">
        <f>INDEX(Calculations!$C$3:$I$22,MATCH(E$37,Calculations!$C$3:$C$22,0)-1,MATCH($B51,Calculations!$C$3:$I$3,0))</f>
        <v>0.56274919354838726</v>
      </c>
      <c r="F51" s="45">
        <f>INDEX(Calculations!$C$3:$I$22,MATCH(F$37,Calculations!$C$3:$C$22,0)-3,MATCH($B51,Calculations!$C$3:$I$3,0))</f>
        <v>1</v>
      </c>
      <c r="G51" s="45">
        <f>INDEX(Calculations!$C$3:$I$22,MATCH(G$37,Calculations!$C$3:$C$22,0)-1,MATCH($B51,Calculations!$C$3:$I$3,0))</f>
        <v>1</v>
      </c>
      <c r="H51" s="45">
        <f>INDEX(Calculations!$C$3:$I$22,MATCH(H$37,Calculations!$C$3:$C$22,0)-1,MATCH($B51,Calculations!$C$3:$I$3,0))</f>
        <v>0.98784367500000003</v>
      </c>
      <c r="I51" s="45">
        <f>INDEX(Calculations!$C$3:$I$22,MATCH(I$37,Calculations!$C$3:$C$22,0)-1,MATCH($B51,Calculations!$C$3:$I$3,0))</f>
        <v>0.94087387092391306</v>
      </c>
    </row>
    <row r="53" spans="2:9">
      <c r="C53" s="54" t="s">
        <v>32</v>
      </c>
      <c r="D53" s="54" t="s">
        <v>172</v>
      </c>
      <c r="E53" s="54" t="s">
        <v>173</v>
      </c>
      <c r="F53" s="54" t="s">
        <v>174</v>
      </c>
      <c r="G53" s="54" t="s">
        <v>175</v>
      </c>
      <c r="H53" s="54" t="s">
        <v>176</v>
      </c>
      <c r="I53" s="54" t="s">
        <v>122</v>
      </c>
    </row>
    <row r="54" spans="2:9">
      <c r="B54" s="129">
        <v>2017</v>
      </c>
      <c r="C54" s="155">
        <f>C44</f>
        <v>25.359734664000001</v>
      </c>
      <c r="D54" s="155">
        <f t="shared" ref="D54:I54" si="2">D41</f>
        <v>7.1874000000000011</v>
      </c>
      <c r="E54" s="155">
        <f t="shared" si="2"/>
        <v>3.709625806451613</v>
      </c>
      <c r="F54" s="155">
        <f t="shared" si="2"/>
        <v>3.4366668387096775</v>
      </c>
      <c r="G54" s="155">
        <f t="shared" si="2"/>
        <v>3.4233816774193553</v>
      </c>
      <c r="H54" s="155">
        <f t="shared" si="2"/>
        <v>3.1495111432258067</v>
      </c>
      <c r="I54" s="155">
        <f t="shared" si="2"/>
        <v>2.7660923953548391</v>
      </c>
    </row>
    <row r="55" spans="2:9">
      <c r="B55" s="129" t="s">
        <v>177</v>
      </c>
      <c r="C55" s="157"/>
      <c r="D55" s="157">
        <f t="shared" ref="D55:I55" si="3">D44-D41</f>
        <v>0.73751708249999925</v>
      </c>
      <c r="E55" s="157">
        <f t="shared" si="3"/>
        <v>0.75011489066310055</v>
      </c>
      <c r="F55" s="157">
        <f t="shared" si="3"/>
        <v>1.0230738584050361</v>
      </c>
      <c r="G55" s="157">
        <f t="shared" si="3"/>
        <v>1.0363590196953583</v>
      </c>
      <c r="H55" s="157">
        <f>H44-H41</f>
        <v>1.256015496559054</v>
      </c>
      <c r="I55" s="157">
        <f t="shared" si="3"/>
        <v>1.3789525076779618</v>
      </c>
    </row>
    <row r="56" spans="2:9">
      <c r="D56" s="43">
        <f t="shared" ref="D56:I56" si="4">D41/C41</f>
        <v>0.27500000000000008</v>
      </c>
      <c r="E56" s="43">
        <f t="shared" si="4"/>
        <v>0.5161290322580645</v>
      </c>
      <c r="F56" s="43">
        <f t="shared" si="4"/>
        <v>0.92641873278236919</v>
      </c>
      <c r="G56" s="43">
        <f t="shared" si="4"/>
        <v>0.99613428885783117</v>
      </c>
      <c r="H56" s="43">
        <f t="shared" si="4"/>
        <v>0.91999999999999993</v>
      </c>
      <c r="I56" s="43">
        <f t="shared" si="4"/>
        <v>0.87826086956521743</v>
      </c>
    </row>
    <row r="57" spans="2:9">
      <c r="D57" s="43">
        <f t="shared" ref="D57:I57" si="5">D44/C44</f>
        <v>0.3125</v>
      </c>
      <c r="E57" s="43">
        <f t="shared" si="5"/>
        <v>0.56274919354838726</v>
      </c>
      <c r="F57" s="43">
        <f t="shared" si="5"/>
        <v>1</v>
      </c>
      <c r="G57" s="43">
        <f t="shared" si="5"/>
        <v>1</v>
      </c>
      <c r="H57" s="43">
        <f t="shared" si="5"/>
        <v>0.98784367500000003</v>
      </c>
      <c r="I57" s="43">
        <f t="shared" si="5"/>
        <v>0.94087387092391295</v>
      </c>
    </row>
    <row r="59" spans="2:9">
      <c r="B59" s="1"/>
      <c r="C59" s="54" t="s">
        <v>32</v>
      </c>
      <c r="D59" s="54" t="s">
        <v>172</v>
      </c>
      <c r="E59" s="54" t="s">
        <v>173</v>
      </c>
      <c r="F59" s="54" t="s">
        <v>174</v>
      </c>
      <c r="G59" s="54" t="s">
        <v>175</v>
      </c>
      <c r="H59" s="54" t="s">
        <v>176</v>
      </c>
      <c r="I59" s="54" t="s">
        <v>122</v>
      </c>
    </row>
    <row r="60" spans="2:9">
      <c r="B60" s="129" t="s">
        <v>152</v>
      </c>
      <c r="C60" s="155">
        <f>C44</f>
        <v>25.359734664000001</v>
      </c>
      <c r="D60" s="155">
        <f>D39</f>
        <v>6.666666666666667</v>
      </c>
      <c r="E60" s="155">
        <f t="shared" ref="E60:I60" si="6">E39</f>
        <v>3.4408602150537635</v>
      </c>
      <c r="F60" s="155">
        <f t="shared" si="6"/>
        <v>3.2</v>
      </c>
      <c r="G60" s="155">
        <f t="shared" si="6"/>
        <v>3.2</v>
      </c>
      <c r="H60" s="155">
        <f t="shared" si="6"/>
        <v>2.944</v>
      </c>
      <c r="I60" s="155">
        <f t="shared" si="6"/>
        <v>2.56</v>
      </c>
    </row>
    <row r="61" spans="2:9">
      <c r="B61" s="129" t="s">
        <v>153</v>
      </c>
      <c r="C61" s="157"/>
      <c r="D61" s="157">
        <f t="shared" ref="D61:I61" si="7">D44-D39</f>
        <v>1.2582504158333334</v>
      </c>
      <c r="E61" s="157">
        <f t="shared" si="7"/>
        <v>1.0188804820609501</v>
      </c>
      <c r="F61" s="157">
        <f t="shared" si="7"/>
        <v>1.2597406971147134</v>
      </c>
      <c r="G61" s="157">
        <f t="shared" si="7"/>
        <v>1.2597406971147134</v>
      </c>
      <c r="H61" s="157">
        <f t="shared" si="7"/>
        <v>1.4615266397848607</v>
      </c>
      <c r="I61" s="157">
        <f t="shared" si="7"/>
        <v>1.5850449030328009</v>
      </c>
    </row>
    <row r="62" spans="2:9">
      <c r="B62" s="1"/>
      <c r="C62" s="1"/>
      <c r="D62" s="43">
        <f>D39/C39</f>
        <v>0.25</v>
      </c>
      <c r="E62" s="43">
        <f t="shared" ref="E62:I62" si="8">E39/D39</f>
        <v>0.5161290322580645</v>
      </c>
      <c r="F62" s="43">
        <f t="shared" si="8"/>
        <v>0.93</v>
      </c>
      <c r="G62" s="43">
        <f t="shared" si="8"/>
        <v>1</v>
      </c>
      <c r="H62" s="43">
        <f t="shared" si="8"/>
        <v>0.91999999999999993</v>
      </c>
      <c r="I62" s="43">
        <f t="shared" si="8"/>
        <v>0.86956521739130443</v>
      </c>
    </row>
    <row r="63" spans="2:9">
      <c r="B63" s="1"/>
      <c r="C63" s="1"/>
      <c r="D63" s="43">
        <f>D44/C44</f>
        <v>0.3125</v>
      </c>
      <c r="E63" s="43">
        <f t="shared" ref="E63:I63" si="9">E44/D44</f>
        <v>0.56274919354838726</v>
      </c>
      <c r="F63" s="43">
        <f t="shared" si="9"/>
        <v>1</v>
      </c>
      <c r="G63" s="43">
        <f t="shared" si="9"/>
        <v>1</v>
      </c>
      <c r="H63" s="43">
        <f t="shared" si="9"/>
        <v>0.98784367500000003</v>
      </c>
      <c r="I63" s="43">
        <f t="shared" si="9"/>
        <v>0.94087387092391295</v>
      </c>
    </row>
  </sheetData>
  <pageMargins left="0.2361111111111111" right="0.2361111111111111" top="0.75" bottom="0.75" header="0.31944444444444442" footer="0.31944444444444442"/>
  <pageSetup orientation="landscape"/>
  <headerFooter>
    <oddFooter>&amp;CPage &amp;P of &amp;N</oddFooter>
  </headerFooter>
  <customProperties>
    <customPr name="SheetId" r:id="rId1"/>
  </customPropertie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tfe>
  <version>1.1.4.16</version>
  <type>unbranded</type>
  <hasIndex>true</hasIndex>
  <hasSheetHeaders>false</hasSheetHeaders>
</btfe>
</file>

<file path=customXml/itemProps1.xml><?xml version="1.0" encoding="utf-8"?>
<ds:datastoreItem xmlns:ds="http://schemas.openxmlformats.org/officeDocument/2006/customXml" ds:itemID="{76AE882D-76CB-4FB7-B3EE-1B8C66D482D2}">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INPUT</vt:lpstr>
      <vt:lpstr>OUTPUT</vt:lpstr>
      <vt:lpstr>DO NOT USE &gt;&gt;&gt;</vt:lpstr>
      <vt:lpstr>Index</vt:lpstr>
      <vt:lpstr>Detailed Assumptions</vt:lpstr>
      <vt:lpstr>Saved scenarios</vt:lpstr>
      <vt:lpstr>Calculations</vt:lpstr>
      <vt:lpstr>Assumption calculations</vt:lpstr>
      <vt:lpstr>Slide output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12STC</dc:creator>
  <cp:lastModifiedBy>Natan  Last</cp:lastModifiedBy>
  <cp:lastPrinted>2014-07-31T13:38:01Z</cp:lastPrinted>
  <dcterms:created xsi:type="dcterms:W3CDTF">2013-06-27T12:25:43Z</dcterms:created>
  <dcterms:modified xsi:type="dcterms:W3CDTF">2017-06-23T17:05:51Z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P_IDX">
    <vt:lpwstr>C:\Users\51FNS\Documents\0 OEA Global Cons Ops\02 XL Toolbox\07 Source files for installer\Bain.xltx</vt:lpwstr>
  </property>
</Properties>
</file>